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085" windowHeight="6405" tabRatio="910" activeTab="3"/>
  </bookViews>
  <sheets>
    <sheet name="SitRep" sheetId="37" r:id="rId1"/>
    <sheet name="Summary" sheetId="1" r:id="rId2"/>
    <sheet name="Contracts" sheetId="34" r:id="rId3"/>
    <sheet name="Payroll Travel" sheetId="2" r:id="rId4"/>
    <sheet name="OPA PRFA" sheetId="7" r:id="rId5"/>
    <sheet name="Contracts reconciliation" sheetId="38" r:id="rId6"/>
  </sheets>
  <definedNames>
    <definedName name="_xlnm.Print_Area" localSheetId="2">Contracts!$A$3:$G$53</definedName>
    <definedName name="_xlnm.Print_Area" localSheetId="0">SitRep!$A$1:$L$29</definedName>
    <definedName name="_xlnm.Print_Area" localSheetId="1">Summary!$A$1:$N$29</definedName>
  </definedNames>
  <calcPr calcId="125725"/>
</workbook>
</file>

<file path=xl/calcChain.xml><?xml version="1.0" encoding="utf-8"?>
<calcChain xmlns="http://schemas.openxmlformats.org/spreadsheetml/2006/main">
  <c r="O7" i="2"/>
  <c r="H8"/>
  <c r="H7" i="1" l="1"/>
  <c r="M19" i="2"/>
  <c r="O19" s="1"/>
  <c r="N7"/>
  <c r="P7" l="1"/>
  <c r="C8"/>
  <c r="D13" i="34"/>
  <c r="D15"/>
  <c r="E15"/>
  <c r="G15" s="1"/>
  <c r="D14"/>
  <c r="D46"/>
  <c r="B103" i="38"/>
  <c r="B107"/>
  <c r="B105"/>
  <c r="B96"/>
  <c r="E42" i="34"/>
  <c r="E41"/>
  <c r="C18" i="2"/>
  <c r="E43" i="34"/>
  <c r="A4" i="37"/>
  <c r="D7" i="1"/>
  <c r="D8" s="1"/>
  <c r="D10" s="1"/>
  <c r="E40" i="34"/>
  <c r="A30" i="7"/>
  <c r="G11"/>
  <c r="B7" i="1"/>
  <c r="B8" s="1"/>
  <c r="C8" i="34"/>
  <c r="C46" s="1"/>
  <c r="C22"/>
  <c r="C24"/>
  <c r="F46"/>
  <c r="E13"/>
  <c r="G13" s="1"/>
  <c r="E39"/>
  <c r="E38"/>
  <c r="A29" i="37"/>
  <c r="E34" i="34"/>
  <c r="E37"/>
  <c r="E36"/>
  <c r="E33"/>
  <c r="E35"/>
  <c r="E32"/>
  <c r="C30" i="7"/>
  <c r="B10" i="1"/>
  <c r="E31" i="34"/>
  <c r="E30"/>
  <c r="E16"/>
  <c r="E19"/>
  <c r="E28"/>
  <c r="E27"/>
  <c r="E26"/>
  <c r="F11" i="7"/>
  <c r="B7" i="37"/>
  <c r="B9" s="1"/>
  <c r="D7"/>
  <c r="D9" s="1"/>
  <c r="B11"/>
  <c r="E10" i="34"/>
  <c r="G10"/>
  <c r="E29"/>
  <c r="E24"/>
  <c r="E23"/>
  <c r="E22"/>
  <c r="E21"/>
  <c r="E20"/>
  <c r="E11"/>
  <c r="G11"/>
  <c r="E9"/>
  <c r="G9" s="1"/>
  <c r="C40" i="7"/>
  <c r="D40"/>
  <c r="E12" i="34"/>
  <c r="G12" s="1"/>
  <c r="E18"/>
  <c r="E17"/>
  <c r="E5"/>
  <c r="E8"/>
  <c r="E7"/>
  <c r="E6"/>
  <c r="E4"/>
  <c r="E7" i="37"/>
  <c r="E9" s="1"/>
  <c r="E7" i="1"/>
  <c r="E8" s="1"/>
  <c r="E14" i="34"/>
  <c r="G14" s="1"/>
  <c r="B98" i="38" l="1"/>
  <c r="B100" s="1"/>
  <c r="H7" i="37"/>
  <c r="H9" s="1"/>
  <c r="E46" i="34"/>
  <c r="L7" i="37"/>
  <c r="L9" s="1"/>
  <c r="B14"/>
  <c r="E10" i="1"/>
  <c r="E11" i="37" s="1"/>
  <c r="B13" i="1"/>
  <c r="D11" i="37"/>
  <c r="D13" i="1"/>
  <c r="D14" i="37" s="1"/>
  <c r="H8" i="1" l="1"/>
  <c r="E13"/>
  <c r="E14" i="37" s="1"/>
  <c r="H10" i="1" l="1"/>
  <c r="H11" i="37" s="1"/>
  <c r="L7" i="1"/>
  <c r="L8" s="1"/>
  <c r="L10" s="1"/>
  <c r="L11" i="37" s="1"/>
  <c r="H13" i="1" l="1"/>
  <c r="H14" i="37" s="1"/>
  <c r="L13" i="1"/>
  <c r="L14" i="37" s="1"/>
  <c r="C25" i="2"/>
  <c r="J7" i="37" s="1"/>
  <c r="J9" s="1"/>
  <c r="H25" i="2"/>
  <c r="J7" i="1" l="1"/>
  <c r="J8" s="1"/>
  <c r="J11" i="7" s="1"/>
  <c r="C7" i="1"/>
  <c r="C7" i="37"/>
  <c r="J10" i="1" l="1"/>
  <c r="J11" i="37" s="1"/>
  <c r="C9"/>
  <c r="K7"/>
  <c r="K9" s="1"/>
  <c r="F7"/>
  <c r="J13" i="1"/>
  <c r="J14" i="37" s="1"/>
  <c r="C8" i="1"/>
  <c r="F7"/>
  <c r="K7"/>
  <c r="K8" s="1"/>
  <c r="K10" l="1"/>
  <c r="K11" i="37" s="1"/>
  <c r="I17" i="1"/>
  <c r="C10"/>
  <c r="G7" i="37"/>
  <c r="F9"/>
  <c r="G9" s="1"/>
  <c r="F8" i="1"/>
  <c r="G7"/>
  <c r="K13" l="1"/>
  <c r="K14" i="37" s="1"/>
  <c r="C11"/>
  <c r="F10" i="1"/>
  <c r="F13" s="1"/>
  <c r="F14" i="37" s="1"/>
  <c r="I16" i="1"/>
  <c r="G8"/>
  <c r="H11" i="7"/>
  <c r="I11" s="1"/>
  <c r="C13" i="1"/>
  <c r="C14" i="37" s="1"/>
  <c r="G10" i="1" l="1"/>
  <c r="G11" i="37" s="1"/>
  <c r="F11"/>
  <c r="G13" i="1" l="1"/>
  <c r="G14" i="37" s="1"/>
</calcChain>
</file>

<file path=xl/sharedStrings.xml><?xml version="1.0" encoding="utf-8"?>
<sst xmlns="http://schemas.openxmlformats.org/spreadsheetml/2006/main" count="289" uniqueCount="227">
  <si>
    <t>Authorized</t>
  </si>
  <si>
    <t>Balance</t>
  </si>
  <si>
    <t>Estimated Cumulative Total</t>
  </si>
  <si>
    <t xml:space="preserve"> </t>
  </si>
  <si>
    <t>TRAVEL:</t>
  </si>
  <si>
    <t>Amount</t>
  </si>
  <si>
    <t>Dates</t>
  </si>
  <si>
    <t>Budget</t>
  </si>
  <si>
    <t xml:space="preserve">Estimated </t>
  </si>
  <si>
    <t>Spent</t>
  </si>
  <si>
    <t>Daily Burn</t>
  </si>
  <si>
    <t>Rate</t>
  </si>
  <si>
    <t>TOTAL</t>
  </si>
  <si>
    <t>Daily Burn Rate</t>
  </si>
  <si>
    <t>Total EPA</t>
  </si>
  <si>
    <t>ERRS T.O.</t>
  </si>
  <si>
    <t>Days Remaining</t>
  </si>
  <si>
    <t>Total</t>
  </si>
  <si>
    <t>Est. Spent</t>
  </si>
  <si>
    <t>Authorized Ceiling</t>
  </si>
  <si>
    <t>Est. Daily Burn Rate</t>
  </si>
  <si>
    <t>OPA FPN N10036</t>
  </si>
  <si>
    <t>Region 6 Indirect Rate 13.12%</t>
  </si>
  <si>
    <t>PRB</t>
  </si>
  <si>
    <t>Mobil Command Post</t>
  </si>
  <si>
    <t>HVAC OT/Crescent</t>
  </si>
  <si>
    <t>06LXDWH</t>
  </si>
  <si>
    <t>GIS support IA DW47950536 David Parrish PO</t>
  </si>
  <si>
    <t>TOTAL estimated daily rate for salary and travel</t>
  </si>
  <si>
    <t>Daily Cost</t>
  </si>
  <si>
    <t>Indirect Rate Calculation</t>
  </si>
  <si>
    <t>Method 1:</t>
  </si>
  <si>
    <t xml:space="preserve"> -  when IAG negotiated without indirect costs (a part of)</t>
  </si>
  <si>
    <t>Insert</t>
  </si>
  <si>
    <t>Direct Cost</t>
  </si>
  <si>
    <t>Indirect Rate</t>
  </si>
  <si>
    <t>Indirect Cost</t>
  </si>
  <si>
    <t>Method 2:</t>
  </si>
  <si>
    <t xml:space="preserve"> - when IA negotiated with indirect costs (on top of)</t>
  </si>
  <si>
    <t>Obligation</t>
  </si>
  <si>
    <t xml:space="preserve">START REOC </t>
  </si>
  <si>
    <t xml:space="preserve">TAGA </t>
  </si>
  <si>
    <t>START TDD 0033-10-04-01</t>
  </si>
  <si>
    <t>START TDD 0033-10-04-02</t>
  </si>
  <si>
    <t>START TDD 0033-10-04-03</t>
  </si>
  <si>
    <t>START TDD 0033-10-04-04</t>
  </si>
  <si>
    <t>EPA Est.Personnel Cost</t>
  </si>
  <si>
    <t>EPA Est. Travel  Cost</t>
  </si>
  <si>
    <t>Estimated Days Remaining</t>
  </si>
  <si>
    <t xml:space="preserve">Days remaining based on authorized direct ceiling minus total payroll, travel, and contracts EXPENDED </t>
  </si>
  <si>
    <t>Days Remaining based on authorized ceiling minus total payroll, travel, and contract OBLIGATIONS</t>
  </si>
  <si>
    <t>Photo Printer &amp; Supplies</t>
  </si>
  <si>
    <t>DCN LDR012</t>
  </si>
  <si>
    <t>Balance (Ceiling minus Expenditures)</t>
  </si>
  <si>
    <t>TOTAL Estimated Expenditures</t>
  </si>
  <si>
    <t>TOTAL Contract/Purchase OBLIGATIONS.</t>
  </si>
  <si>
    <t>Estimated Contract/Purchase Spent</t>
  </si>
  <si>
    <t>DCN LDR013</t>
  </si>
  <si>
    <t>Un-Obligated Dollars Remaining</t>
  </si>
  <si>
    <t>Dollars Obligated Not Spent</t>
  </si>
  <si>
    <t>6MD Equipment Costs (LRVs, generator, satellite kits)</t>
  </si>
  <si>
    <t>DCN LDR016</t>
  </si>
  <si>
    <t>DCN LDR017</t>
  </si>
  <si>
    <t>aquatic biosystems</t>
  </si>
  <si>
    <t>GSS/Lab Supplies</t>
  </si>
  <si>
    <t>Hawaiian Marine Imports</t>
  </si>
  <si>
    <t>Lab Supplies to process sample CANCELED</t>
  </si>
  <si>
    <t>DCN LDR022</t>
  </si>
  <si>
    <t>DCN LDR019</t>
  </si>
  <si>
    <t>Fleet Vehicles</t>
  </si>
  <si>
    <t>DCN LDR021</t>
  </si>
  <si>
    <t>PC/Brescia</t>
  </si>
  <si>
    <t>START potential IRA (3% of ITD) 6/4-5</t>
  </si>
  <si>
    <t>Air /cond (LDR003)</t>
  </si>
  <si>
    <t>GSA (LDR006)</t>
  </si>
  <si>
    <t>DCN LDR026</t>
  </si>
  <si>
    <t>DCN LDR027</t>
  </si>
  <si>
    <t>PC/Doherty</t>
  </si>
  <si>
    <t>PC/Crossland</t>
  </si>
  <si>
    <t>DCN LDR028</t>
  </si>
  <si>
    <t>DCN LDR029</t>
  </si>
  <si>
    <t>DCN LDR030</t>
  </si>
  <si>
    <t>USGS (GIS)</t>
  </si>
  <si>
    <t>UPS Overnight shipping</t>
  </si>
  <si>
    <t>DCN LDR031</t>
  </si>
  <si>
    <t>ESAT</t>
  </si>
  <si>
    <t>DCN LDR034</t>
  </si>
  <si>
    <t>DCN LDR032</t>
  </si>
  <si>
    <t>DCN LDR035</t>
  </si>
  <si>
    <t>DCN LDR036</t>
  </si>
  <si>
    <t>DCN LDR037</t>
  </si>
  <si>
    <t>Lab supplies</t>
  </si>
  <si>
    <t>Supplies (ship samples)</t>
  </si>
  <si>
    <t>office supplies</t>
  </si>
  <si>
    <t>DCN LDR038</t>
  </si>
  <si>
    <t>TAGA charges estimated at $10,000/day, based on contractor info June 4th.</t>
  </si>
  <si>
    <t xml:space="preserve">ASPECT charge $6,000/day/flight, $3,000/no fly day).   </t>
  </si>
  <si>
    <t>Dynamac/DATS ASPECT</t>
  </si>
  <si>
    <t>DCN LDR040</t>
  </si>
  <si>
    <t>Qwilite Biosensor</t>
  </si>
  <si>
    <t>IDIQ - Ft. Fouchon  (estimated for 6 months per PO)</t>
  </si>
  <si>
    <t>IDIQ - New Orleans (estimated for 6 months per PO)</t>
  </si>
  <si>
    <t>ASPECT</t>
  </si>
  <si>
    <t>RT Corp/SLA Crude Stand</t>
  </si>
  <si>
    <t>IDIQ (estimated for 2.5 months per PO)</t>
  </si>
  <si>
    <t>DCN LDR020,  LDR046</t>
  </si>
  <si>
    <t>ERT (LDR007,LDR009, LDR044)</t>
  </si>
  <si>
    <t>(LDR008,011,023,025,039,043)</t>
  </si>
  <si>
    <t>PC/Katy Miley</t>
  </si>
  <si>
    <t>Place Holder</t>
  </si>
  <si>
    <t>Dioxin Sampling Balloon</t>
  </si>
  <si>
    <t>R5 Air Monitor for H2S and team to operate</t>
  </si>
  <si>
    <t>DCN LDR042</t>
  </si>
  <si>
    <t>DCN LDR047</t>
  </si>
  <si>
    <t>DCN LDR048</t>
  </si>
  <si>
    <t>R7 Motorpool</t>
  </si>
  <si>
    <t>PC/Ruhl</t>
  </si>
  <si>
    <t>RE 1006LDR001</t>
  </si>
  <si>
    <t>RE 1006LDR004</t>
  </si>
  <si>
    <t>RE 1006LDR005</t>
  </si>
  <si>
    <t>RE 1006LDR008</t>
  </si>
  <si>
    <t>RE 1006LDR010</t>
  </si>
  <si>
    <t>RE 1006LDR011</t>
  </si>
  <si>
    <t>RE 1006LDR014</t>
  </si>
  <si>
    <t>RE 1006LDR015</t>
  </si>
  <si>
    <t>RE 1006LDR022</t>
  </si>
  <si>
    <t>RE 1006LDR023</t>
  </si>
  <si>
    <t>RE 1006LDR024</t>
  </si>
  <si>
    <t>RE 1006LDR025</t>
  </si>
  <si>
    <t>RE 1006LDR032</t>
  </si>
  <si>
    <t>RE 1006LDR033</t>
  </si>
  <si>
    <t>RE 1006LDR034</t>
  </si>
  <si>
    <t>RE 1006LDR038</t>
  </si>
  <si>
    <t>RE 1006LDR039</t>
  </si>
  <si>
    <t>RE 1006LDR040</t>
  </si>
  <si>
    <t>RE 1006LDR041</t>
  </si>
  <si>
    <t>RE 1006LDR043</t>
  </si>
  <si>
    <t>RE 1006LDR044</t>
  </si>
  <si>
    <t>RE 1006LDR045</t>
  </si>
  <si>
    <t>RE 1006LDR046</t>
  </si>
  <si>
    <t>RQ 1006LDR003</t>
  </si>
  <si>
    <t>RQ 1006LDR006</t>
  </si>
  <si>
    <t>RQ 1006LDR007</t>
  </si>
  <si>
    <t>RQ 1006LDR009</t>
  </si>
  <si>
    <t>RQ 1006LDR012</t>
  </si>
  <si>
    <t>RQ 1006LDR013</t>
  </si>
  <si>
    <t>RQ 1006LDR016</t>
  </si>
  <si>
    <t>RQ 1006LDR017</t>
  </si>
  <si>
    <t>RQ 1006LDR019</t>
  </si>
  <si>
    <t>RQ 1006LDR020</t>
  </si>
  <si>
    <t>RQ 1006LDR021</t>
  </si>
  <si>
    <t>RQ 1006LDR026</t>
  </si>
  <si>
    <t>RQ 1006LDR027</t>
  </si>
  <si>
    <t>RQ 1006LDR028</t>
  </si>
  <si>
    <t>RQ 1006LDR029</t>
  </si>
  <si>
    <t>RQ 1006LDR030</t>
  </si>
  <si>
    <t>RQ 1006LDR031</t>
  </si>
  <si>
    <t>RQ 1006LDR035</t>
  </si>
  <si>
    <t>RQ 1006LDR036</t>
  </si>
  <si>
    <t>RQ 1006LDR037</t>
  </si>
  <si>
    <t>RQ 1006LDR042</t>
  </si>
  <si>
    <t>RQ 1006LDR047</t>
  </si>
  <si>
    <t>RQ 1006LDR048</t>
  </si>
  <si>
    <t>RQ 1007W10132</t>
  </si>
  <si>
    <t>START FDW</t>
  </si>
  <si>
    <t>START PO</t>
  </si>
  <si>
    <t>START Difference</t>
  </si>
  <si>
    <t>DCN</t>
  </si>
  <si>
    <t>FDW Commit</t>
  </si>
  <si>
    <t>Sitrep</t>
  </si>
  <si>
    <t>Obligations</t>
  </si>
  <si>
    <t>Description</t>
  </si>
  <si>
    <t>FDW Total Commitments</t>
  </si>
  <si>
    <t>Sitrep Total Obligations</t>
  </si>
  <si>
    <t>Sitrep understated (or if negative overstated)</t>
  </si>
  <si>
    <t xml:space="preserve">TITLE </t>
  </si>
  <si>
    <r>
      <t>Region _</t>
    </r>
    <r>
      <rPr>
        <b/>
        <sz val="14"/>
        <color rgb="FFFF0000"/>
        <rFont val="Arial"/>
        <family val="2"/>
      </rPr>
      <t xml:space="preserve"> Daily </t>
    </r>
    <r>
      <rPr>
        <b/>
        <sz val="14"/>
        <rFont val="Arial"/>
        <family val="2"/>
      </rPr>
      <t>Cost Estimates Report-Situation Report</t>
    </r>
  </si>
  <si>
    <t>MISSION ASSIGNMENT NUMBER 1</t>
  </si>
  <si>
    <t>GRAND TOTAL</t>
  </si>
  <si>
    <t>START Location 1</t>
  </si>
  <si>
    <t>START Location 2</t>
  </si>
  <si>
    <t>START Location 3</t>
  </si>
  <si>
    <t>FUNDING METHOD</t>
  </si>
  <si>
    <t>TITLE/CONTRACT/TASK ORDER</t>
  </si>
  <si>
    <t>DATE</t>
  </si>
  <si>
    <t>Funding Source</t>
  </si>
  <si>
    <t>Region_  Daily Cost Estimates Report</t>
  </si>
  <si>
    <t>PAYROLL AND TRAVEL FOR THE XYZ TITLE</t>
  </si>
  <si>
    <t>1) Pull Total Travel Spent (Code 21) from FDW (Reimbursable Agreement Detail Inquiry)</t>
  </si>
  <si>
    <t xml:space="preserve">2) Calculate how many days, how many people, and the ME&amp;I Travel Rate for that location. </t>
  </si>
  <si>
    <t># of Staff</t>
  </si>
  <si>
    <t xml:space="preserve"> Hourly Cost</t>
  </si>
  <si>
    <t>Todays Total Cost</t>
  </si>
  <si>
    <t>Previous Cumulative Total</t>
  </si>
  <si>
    <t>MA#01 (CP)</t>
  </si>
  <si>
    <t>MA#01 (CM)</t>
  </si>
  <si>
    <t>NUMBERS ARE ONLY EXAMPLES</t>
  </si>
  <si>
    <t>Cumulative Total</t>
  </si>
  <si>
    <t>EPA Est.Payroll Cost</t>
  </si>
  <si>
    <t xml:space="preserve">Balance </t>
  </si>
  <si>
    <t>Daily  Cost</t>
  </si>
  <si>
    <t xml:space="preserve">Estimated Cumulative Total </t>
  </si>
  <si>
    <t>3) Calculate how many days from the last pay period end date to current date.</t>
  </si>
  <si>
    <t>(74 days 4/28/10 - 7/10/2010)</t>
  </si>
  <si>
    <t xml:space="preserve">TOTAL AUTHORIZED FUNDED </t>
  </si>
  <si>
    <t>TITLE</t>
  </si>
  <si>
    <r>
      <t xml:space="preserve">USCG PRFA FPN N10036                                     </t>
    </r>
    <r>
      <rPr>
        <b/>
        <sz val="11"/>
        <color rgb="FFFF0000"/>
        <rFont val="Arial"/>
        <family val="2"/>
      </rPr>
      <t xml:space="preserve">  $24,144,129 Total   </t>
    </r>
    <r>
      <rPr>
        <b/>
        <sz val="11"/>
        <color indexed="10"/>
        <rFont val="Arial"/>
        <family val="2"/>
      </rPr>
      <t xml:space="preserve">     </t>
    </r>
  </si>
  <si>
    <t>â</t>
  </si>
  <si>
    <t>Est. Days Remaining</t>
  </si>
  <si>
    <t xml:space="preserve">TOTALFUNDED </t>
  </si>
  <si>
    <t xml:space="preserve">This is an example of a tracking sheet that was previously used. There are many ways to track this data.  You should get a daily cost report which also includes the contractors burn rate. So the "Spent" numbers below come from the contractors. </t>
  </si>
  <si>
    <t>HOW TO CALCULATE:</t>
  </si>
  <si>
    <t xml:space="preserve">i.e. If the pay period end day is 4/27/10, then choose 4/28/10 to start your days to current date. </t>
  </si>
  <si>
    <t>Todays Total Daily Cost</t>
  </si>
  <si>
    <t>2) Figure out the last pay period end date. Go to FDW-Restricted Access Query-PeoplePlus/CPARS Payroll.</t>
  </si>
  <si>
    <t>1) Pull Total Payroll Spent (Code 10)from FDW (Reimbursable Agreement Detail Inquiry).</t>
  </si>
  <si>
    <t xml:space="preserve">PAYROLL EXAMPLE </t>
  </si>
  <si>
    <t>Total Travel est. cumulative FDW total divided by (74 days 4/28/10 - 7/10/2010) = est. daily cost</t>
  </si>
  <si>
    <t xml:space="preserve">4) Figure out how long the days are, how many people and the overestimated pay rate, GS 13 Step 9 for example. See Payroll Example Chart. Note: You can also find the number of staff from the IAP From 204 which shows the number of people assigned to the job. </t>
  </si>
  <si>
    <t>TRAVEL DAILY COST</t>
  </si>
  <si>
    <t>TRAVEL TOTAL COST</t>
  </si>
  <si>
    <t>TRAVEL EXAMPLE</t>
  </si>
  <si>
    <t>PAYROLL TOTAL COST</t>
  </si>
  <si>
    <t>Copy Est Cum Total into Previous Cum Total as VALUES</t>
  </si>
  <si>
    <t xml:space="preserve">PAYROLL:  </t>
  </si>
  <si>
    <t>DAILY PAYROLL</t>
  </si>
  <si>
    <t># of Paid Hours  in shift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</si>
</sst>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[$-409]mmmm\ d\,\ yyyy;@"/>
    <numFmt numFmtId="168" formatCode="0.0"/>
    <numFmt numFmtId="169" formatCode="#,##0.0_);\(#,##0.0\)"/>
  </numFmts>
  <fonts count="4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Arial"/>
    </font>
    <font>
      <u/>
      <sz val="9"/>
      <name val="Arial"/>
    </font>
    <font>
      <u val="double"/>
      <sz val="9"/>
      <name val="Arial"/>
    </font>
    <font>
      <b/>
      <sz val="9"/>
      <name val="Arial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b/>
      <sz val="10"/>
      <name val="Arial"/>
    </font>
    <font>
      <sz val="8"/>
      <name val="Arial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2"/>
      <name val="Arial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color indexed="10"/>
      <name val="Arial"/>
      <family val="2"/>
    </font>
    <font>
      <sz val="11"/>
      <name val="Arial"/>
    </font>
    <font>
      <b/>
      <sz val="11"/>
      <name val="Arial"/>
    </font>
    <font>
      <sz val="11"/>
      <color indexed="8"/>
      <name val="Arial"/>
    </font>
    <font>
      <sz val="11"/>
      <name val="Arial"/>
      <family val="2"/>
    </font>
    <font>
      <u/>
      <sz val="11"/>
      <name val="Arial"/>
      <family val="2"/>
    </font>
    <font>
      <sz val="10"/>
      <color indexed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22"/>
      <name val="Wingdings"/>
      <charset val="2"/>
    </font>
    <font>
      <b/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21"/>
      </top>
      <bottom/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2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6" fontId="0" fillId="0" borderId="0" xfId="0" applyNumberFormat="1"/>
    <xf numFmtId="6" fontId="2" fillId="0" borderId="0" xfId="0" applyNumberFormat="1" applyFont="1" applyBorder="1"/>
    <xf numFmtId="0" fontId="0" fillId="0" borderId="0" xfId="0" applyAlignment="1">
      <alignment wrapText="1"/>
    </xf>
    <xf numFmtId="0" fontId="22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166" fontId="1" fillId="0" borderId="0" xfId="1" applyNumberFormat="1"/>
    <xf numFmtId="44" fontId="1" fillId="0" borderId="0" xfId="1" applyBorder="1"/>
    <xf numFmtId="0" fontId="23" fillId="0" borderId="0" xfId="0" applyFont="1" applyBorder="1" applyAlignment="1">
      <alignment vertical="top" wrapText="1"/>
    </xf>
    <xf numFmtId="0" fontId="23" fillId="0" borderId="1" xfId="0" applyFont="1" applyBorder="1" applyAlignment="1">
      <alignment horizontal="right" vertical="top" wrapText="1"/>
    </xf>
    <xf numFmtId="0" fontId="0" fillId="0" borderId="2" xfId="0" applyBorder="1" applyAlignment="1">
      <alignment horizontal="right"/>
    </xf>
    <xf numFmtId="0" fontId="17" fillId="0" borderId="0" xfId="0" applyFont="1"/>
    <xf numFmtId="44" fontId="17" fillId="0" borderId="4" xfId="0" applyNumberFormat="1" applyFont="1" applyBorder="1"/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165" fontId="2" fillId="0" borderId="0" xfId="0" applyNumberFormat="1" applyFont="1" applyBorder="1"/>
    <xf numFmtId="0" fontId="14" fillId="0" borderId="0" xfId="0" applyFont="1" applyFill="1" applyBorder="1" applyAlignment="1">
      <alignment horizontal="center" wrapText="1"/>
    </xf>
    <xf numFmtId="0" fontId="6" fillId="0" borderId="0" xfId="0" applyFont="1"/>
    <xf numFmtId="44" fontId="0" fillId="0" borderId="6" xfId="1" applyNumberFormat="1" applyFont="1" applyBorder="1"/>
    <xf numFmtId="44" fontId="23" fillId="0" borderId="7" xfId="1" applyNumberFormat="1" applyFont="1" applyBorder="1" applyAlignment="1">
      <alignment vertical="top" wrapText="1"/>
    </xf>
    <xf numFmtId="44" fontId="1" fillId="0" borderId="0" xfId="1" applyNumberFormat="1"/>
    <xf numFmtId="44" fontId="1" fillId="0" borderId="0" xfId="1" applyNumberFormat="1" applyFont="1"/>
    <xf numFmtId="44" fontId="17" fillId="0" borderId="0" xfId="1" applyNumberFormat="1" applyFont="1"/>
    <xf numFmtId="44" fontId="0" fillId="0" borderId="0" xfId="1" applyNumberFormat="1" applyFont="1"/>
    <xf numFmtId="0" fontId="0" fillId="0" borderId="0" xfId="0" applyFill="1" applyBorder="1" applyAlignment="1">
      <alignment horizontal="right"/>
    </xf>
    <xf numFmtId="166" fontId="0" fillId="0" borderId="0" xfId="1" applyNumberFormat="1" applyFont="1"/>
    <xf numFmtId="166" fontId="3" fillId="0" borderId="0" xfId="1" applyNumberFormat="1" applyFont="1" applyAlignment="1">
      <alignment horizontal="centerContinuous"/>
    </xf>
    <xf numFmtId="166" fontId="21" fillId="0" borderId="8" xfId="1" applyNumberFormat="1" applyFont="1" applyBorder="1" applyAlignment="1">
      <alignment horizontal="center" wrapText="1"/>
    </xf>
    <xf numFmtId="166" fontId="8" fillId="2" borderId="9" xfId="1" applyNumberFormat="1" applyFont="1" applyFill="1" applyBorder="1" applyAlignment="1">
      <alignment horizontal="center" wrapText="1"/>
    </xf>
    <xf numFmtId="166" fontId="8" fillId="2" borderId="9" xfId="1" applyNumberFormat="1" applyFont="1" applyFill="1" applyBorder="1" applyAlignment="1">
      <alignment horizontal="center"/>
    </xf>
    <xf numFmtId="166" fontId="8" fillId="2" borderId="10" xfId="1" applyNumberFormat="1" applyFont="1" applyFill="1" applyBorder="1" applyAlignment="1">
      <alignment horizontal="center"/>
    </xf>
    <xf numFmtId="166" fontId="8" fillId="2" borderId="11" xfId="1" applyNumberFormat="1" applyFont="1" applyFill="1" applyBorder="1" applyAlignment="1">
      <alignment horizontal="center"/>
    </xf>
    <xf numFmtId="166" fontId="2" fillId="0" borderId="0" xfId="1" applyNumberFormat="1" applyFont="1"/>
    <xf numFmtId="166" fontId="8" fillId="2" borderId="9" xfId="1" applyNumberFormat="1" applyFont="1" applyFill="1" applyBorder="1"/>
    <xf numFmtId="166" fontId="8" fillId="2" borderId="12" xfId="1" applyNumberFormat="1" applyFont="1" applyFill="1" applyBorder="1"/>
    <xf numFmtId="166" fontId="8" fillId="2" borderId="13" xfId="1" applyNumberFormat="1" applyFont="1" applyFill="1" applyBorder="1"/>
    <xf numFmtId="166" fontId="8" fillId="2" borderId="14" xfId="1" applyNumberFormat="1" applyFont="1" applyFill="1" applyBorder="1"/>
    <xf numFmtId="166" fontId="19" fillId="2" borderId="11" xfId="1" applyNumberFormat="1" applyFont="1" applyFill="1" applyBorder="1" applyAlignment="1">
      <alignment horizontal="right" wrapText="1"/>
    </xf>
    <xf numFmtId="166" fontId="3" fillId="0" borderId="0" xfId="1" applyNumberFormat="1" applyFont="1" applyBorder="1" applyAlignment="1">
      <alignment horizontal="center" wrapText="1"/>
    </xf>
    <xf numFmtId="166" fontId="8" fillId="0" borderId="0" xfId="1" applyNumberFormat="1" applyFont="1" applyBorder="1"/>
    <xf numFmtId="166" fontId="19" fillId="0" borderId="0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3" fillId="3" borderId="8" xfId="1" applyNumberFormat="1" applyFont="1" applyFill="1" applyBorder="1" applyAlignment="1">
      <alignment horizontal="center" wrapText="1"/>
    </xf>
    <xf numFmtId="166" fontId="8" fillId="3" borderId="8" xfId="1" applyNumberFormat="1" applyFont="1" applyFill="1" applyBorder="1" applyAlignment="1">
      <alignment horizontal="center"/>
    </xf>
    <xf numFmtId="166" fontId="8" fillId="2" borderId="15" xfId="1" applyNumberFormat="1" applyFont="1" applyFill="1" applyBorder="1"/>
    <xf numFmtId="166" fontId="8" fillId="3" borderId="16" xfId="1" applyNumberFormat="1" applyFont="1" applyFill="1" applyBorder="1"/>
    <xf numFmtId="166" fontId="7" fillId="0" borderId="0" xfId="1" applyNumberFormat="1" applyFont="1"/>
    <xf numFmtId="166" fontId="0" fillId="0" borderId="0" xfId="1" applyNumberFormat="1" applyFont="1" applyBorder="1"/>
    <xf numFmtId="166" fontId="25" fillId="0" borderId="0" xfId="1" applyNumberFormat="1" applyFont="1" applyBorder="1"/>
    <xf numFmtId="166" fontId="25" fillId="0" borderId="0" xfId="1" applyNumberFormat="1" applyFont="1"/>
    <xf numFmtId="166" fontId="8" fillId="0" borderId="0" xfId="1" applyNumberFormat="1" applyFont="1"/>
    <xf numFmtId="166" fontId="10" fillId="0" borderId="0" xfId="1" applyNumberFormat="1" applyFont="1"/>
    <xf numFmtId="166" fontId="10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right"/>
    </xf>
    <xf numFmtId="166" fontId="11" fillId="0" borderId="0" xfId="1" applyNumberFormat="1" applyFont="1"/>
    <xf numFmtId="166" fontId="12" fillId="0" borderId="0" xfId="1" applyNumberFormat="1" applyFont="1"/>
    <xf numFmtId="166" fontId="10" fillId="0" borderId="0" xfId="1" quotePrefix="1" applyNumberFormat="1" applyFont="1" applyBorder="1" applyAlignment="1">
      <alignment horizontal="right"/>
    </xf>
    <xf numFmtId="166" fontId="10" fillId="0" borderId="0" xfId="1" applyNumberFormat="1" applyFont="1" applyBorder="1" applyAlignment="1">
      <alignment horizontal="right"/>
    </xf>
    <xf numFmtId="166" fontId="10" fillId="0" borderId="0" xfId="1" quotePrefix="1" applyNumberFormat="1" applyFont="1" applyBorder="1" applyAlignment="1">
      <alignment horizontal="center"/>
    </xf>
    <xf numFmtId="166" fontId="10" fillId="0" borderId="0" xfId="1" applyNumberFormat="1" applyFont="1" applyBorder="1"/>
    <xf numFmtId="166" fontId="10" fillId="0" borderId="0" xfId="1" applyNumberFormat="1" applyFont="1" applyBorder="1" applyAlignment="1">
      <alignment horizontal="center"/>
    </xf>
    <xf numFmtId="166" fontId="13" fillId="0" borderId="0" xfId="1" applyNumberFormat="1" applyFont="1"/>
    <xf numFmtId="166" fontId="2" fillId="0" borderId="0" xfId="1" applyNumberFormat="1" applyFont="1" applyAlignment="1">
      <alignment horizontal="center" wrapText="1"/>
    </xf>
    <xf numFmtId="0" fontId="15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44" fontId="22" fillId="0" borderId="0" xfId="1" applyNumberFormat="1" applyFont="1"/>
    <xf numFmtId="168" fontId="3" fillId="0" borderId="0" xfId="1" applyNumberFormat="1" applyFont="1"/>
    <xf numFmtId="166" fontId="21" fillId="3" borderId="17" xfId="1" applyNumberFormat="1" applyFont="1" applyFill="1" applyBorder="1" applyAlignment="1">
      <alignment horizontal="center" wrapText="1"/>
    </xf>
    <xf numFmtId="166" fontId="2" fillId="3" borderId="0" xfId="1" applyNumberFormat="1" applyFont="1" applyFill="1" applyBorder="1" applyAlignment="1">
      <alignment horizontal="center" wrapText="1"/>
    </xf>
    <xf numFmtId="166" fontId="2" fillId="3" borderId="18" xfId="1" applyNumberFormat="1" applyFont="1" applyFill="1" applyBorder="1" applyAlignment="1">
      <alignment horizontal="center" wrapText="1"/>
    </xf>
    <xf numFmtId="166" fontId="26" fillId="4" borderId="19" xfId="1" applyNumberFormat="1" applyFont="1" applyFill="1" applyBorder="1" applyAlignment="1"/>
    <xf numFmtId="166" fontId="27" fillId="4" borderId="20" xfId="1" applyNumberFormat="1" applyFont="1" applyFill="1" applyBorder="1" applyAlignment="1">
      <alignment horizontal="center"/>
    </xf>
    <xf numFmtId="166" fontId="27" fillId="4" borderId="21" xfId="1" applyNumberFormat="1" applyFont="1" applyFill="1" applyBorder="1" applyAlignment="1">
      <alignment horizontal="center"/>
    </xf>
    <xf numFmtId="166" fontId="2" fillId="3" borderId="17" xfId="1" applyNumberFormat="1" applyFont="1" applyFill="1" applyBorder="1" applyAlignment="1">
      <alignment horizontal="center" wrapText="1"/>
    </xf>
    <xf numFmtId="166" fontId="0" fillId="0" borderId="19" xfId="1" applyNumberFormat="1" applyFont="1" applyBorder="1"/>
    <xf numFmtId="166" fontId="0" fillId="0" borderId="21" xfId="1" applyNumberFormat="1" applyFont="1" applyBorder="1"/>
    <xf numFmtId="166" fontId="2" fillId="0" borderId="19" xfId="1" applyNumberFormat="1" applyFont="1" applyBorder="1"/>
    <xf numFmtId="166" fontId="2" fillId="0" borderId="21" xfId="1" applyNumberFormat="1" applyFont="1" applyBorder="1"/>
    <xf numFmtId="166" fontId="2" fillId="3" borderId="22" xfId="1" applyNumberFormat="1" applyFont="1" applyFill="1" applyBorder="1" applyAlignment="1">
      <alignment horizontal="center" wrapText="1"/>
    </xf>
    <xf numFmtId="166" fontId="28" fillId="0" borderId="19" xfId="1" applyNumberFormat="1" applyFont="1" applyBorder="1" applyAlignment="1">
      <alignment horizontal="center"/>
    </xf>
    <xf numFmtId="166" fontId="28" fillId="0" borderId="21" xfId="1" applyNumberFormat="1" applyFont="1" applyBorder="1" applyAlignment="1">
      <alignment horizontal="center"/>
    </xf>
    <xf numFmtId="166" fontId="8" fillId="2" borderId="23" xfId="1" applyNumberFormat="1" applyFont="1" applyFill="1" applyBorder="1" applyAlignment="1">
      <alignment horizontal="center"/>
    </xf>
    <xf numFmtId="43" fontId="3" fillId="0" borderId="0" xfId="1" applyNumberFormat="1" applyFont="1"/>
    <xf numFmtId="166" fontId="2" fillId="0" borderId="24" xfId="1" applyNumberFormat="1" applyFont="1" applyBorder="1"/>
    <xf numFmtId="166" fontId="2" fillId="2" borderId="25" xfId="1" applyNumberFormat="1" applyFont="1" applyFill="1" applyBorder="1" applyAlignment="1">
      <alignment horizontal="center" wrapText="1"/>
    </xf>
    <xf numFmtId="166" fontId="8" fillId="2" borderId="26" xfId="1" applyNumberFormat="1" applyFont="1" applyFill="1" applyBorder="1" applyAlignment="1">
      <alignment horizontal="center"/>
    </xf>
    <xf numFmtId="166" fontId="0" fillId="0" borderId="27" xfId="1" applyNumberFormat="1" applyFont="1" applyBorder="1"/>
    <xf numFmtId="166" fontId="2" fillId="0" borderId="28" xfId="1" applyNumberFormat="1" applyFont="1" applyBorder="1"/>
    <xf numFmtId="166" fontId="8" fillId="2" borderId="15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left" vertical="top" wrapText="1"/>
    </xf>
    <xf numFmtId="166" fontId="0" fillId="0" borderId="20" xfId="1" applyNumberFormat="1" applyFont="1" applyBorder="1"/>
    <xf numFmtId="166" fontId="21" fillId="0" borderId="29" xfId="1" applyNumberFormat="1" applyFont="1" applyBorder="1" applyAlignment="1">
      <alignment horizontal="center" wrapText="1"/>
    </xf>
    <xf numFmtId="166" fontId="21" fillId="0" borderId="30" xfId="1" applyNumberFormat="1" applyFont="1" applyBorder="1" applyAlignment="1">
      <alignment horizontal="center" wrapText="1"/>
    </xf>
    <xf numFmtId="166" fontId="8" fillId="0" borderId="30" xfId="1" applyNumberFormat="1" applyFont="1" applyBorder="1"/>
    <xf numFmtId="166" fontId="8" fillId="3" borderId="31" xfId="1" applyNumberFormat="1" applyFont="1" applyFill="1" applyBorder="1" applyAlignment="1">
      <alignment horizontal="center" wrapText="1"/>
    </xf>
    <xf numFmtId="166" fontId="8" fillId="2" borderId="12" xfId="1" applyNumberFormat="1" applyFont="1" applyFill="1" applyBorder="1" applyAlignment="1">
      <alignment horizontal="center"/>
    </xf>
    <xf numFmtId="166" fontId="8" fillId="3" borderId="32" xfId="1" applyNumberFormat="1" applyFont="1" applyFill="1" applyBorder="1" applyAlignment="1">
      <alignment horizontal="center" wrapText="1"/>
    </xf>
    <xf numFmtId="166" fontId="8" fillId="2" borderId="15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vertical="top" wrapText="1"/>
    </xf>
    <xf numFmtId="0" fontId="29" fillId="5" borderId="0" xfId="0" applyFont="1" applyFill="1"/>
    <xf numFmtId="0" fontId="29" fillId="5" borderId="33" xfId="0" applyFont="1" applyFill="1" applyBorder="1"/>
    <xf numFmtId="0" fontId="29" fillId="5" borderId="34" xfId="0" applyFont="1" applyFill="1" applyBorder="1"/>
    <xf numFmtId="0" fontId="30" fillId="5" borderId="34" xfId="0" applyFont="1" applyFill="1" applyBorder="1" applyAlignment="1">
      <alignment horizontal="center"/>
    </xf>
    <xf numFmtId="0" fontId="30" fillId="5" borderId="35" xfId="0" applyFont="1" applyFill="1" applyBorder="1" applyAlignment="1">
      <alignment horizontal="center"/>
    </xf>
    <xf numFmtId="0" fontId="30" fillId="5" borderId="0" xfId="0" applyFont="1" applyFill="1"/>
    <xf numFmtId="0" fontId="29" fillId="0" borderId="0" xfId="0" applyFont="1"/>
    <xf numFmtId="0" fontId="29" fillId="5" borderId="22" xfId="0" applyFont="1" applyFill="1" applyBorder="1"/>
    <xf numFmtId="0" fontId="30" fillId="5" borderId="17" xfId="0" applyFont="1" applyFill="1" applyBorder="1" applyAlignment="1">
      <alignment horizontal="center" vertical="top" wrapText="1"/>
    </xf>
    <xf numFmtId="14" fontId="30" fillId="5" borderId="17" xfId="0" applyNumberFormat="1" applyFont="1" applyFill="1" applyBorder="1" applyAlignment="1">
      <alignment horizontal="center" vertical="top" wrapText="1"/>
    </xf>
    <xf numFmtId="0" fontId="31" fillId="6" borderId="0" xfId="0" applyFont="1" applyFill="1" applyBorder="1" applyAlignment="1">
      <alignment horizontal="left" vertical="top" wrapText="1"/>
    </xf>
    <xf numFmtId="14" fontId="31" fillId="6" borderId="0" xfId="0" applyNumberFormat="1" applyFont="1" applyFill="1" applyBorder="1" applyAlignment="1">
      <alignment horizontal="left" vertical="top" wrapText="1"/>
    </xf>
    <xf numFmtId="4" fontId="31" fillId="6" borderId="36" xfId="0" applyNumberFormat="1" applyFont="1" applyFill="1" applyBorder="1" applyAlignment="1"/>
    <xf numFmtId="0" fontId="31" fillId="7" borderId="37" xfId="0" applyFont="1" applyFill="1" applyBorder="1" applyAlignment="1">
      <alignment horizontal="left"/>
    </xf>
    <xf numFmtId="0" fontId="31" fillId="7" borderId="0" xfId="0" applyFont="1" applyFill="1" applyBorder="1" applyAlignment="1">
      <alignment horizontal="right" vertical="top" wrapText="1"/>
    </xf>
    <xf numFmtId="14" fontId="31" fillId="7" borderId="0" xfId="0" applyNumberFormat="1" applyFont="1" applyFill="1" applyBorder="1" applyAlignment="1">
      <alignment horizontal="left" vertical="top" wrapText="1"/>
    </xf>
    <xf numFmtId="166" fontId="31" fillId="7" borderId="0" xfId="1" applyNumberFormat="1" applyFont="1" applyFill="1" applyBorder="1" applyAlignment="1">
      <alignment horizontal="left" vertical="top" wrapText="1"/>
    </xf>
    <xf numFmtId="166" fontId="31" fillId="7" borderId="0" xfId="1" applyNumberFormat="1" applyFont="1" applyFill="1" applyBorder="1" applyAlignment="1">
      <alignment horizontal="left"/>
    </xf>
    <xf numFmtId="166" fontId="31" fillId="7" borderId="0" xfId="1" applyNumberFormat="1" applyFont="1" applyFill="1" applyBorder="1" applyAlignment="1"/>
    <xf numFmtId="0" fontId="31" fillId="7" borderId="0" xfId="0" applyFont="1" applyFill="1" applyBorder="1" applyAlignment="1"/>
    <xf numFmtId="0" fontId="31" fillId="6" borderId="37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left"/>
    </xf>
    <xf numFmtId="166" fontId="31" fillId="6" borderId="0" xfId="1" applyNumberFormat="1" applyFont="1" applyFill="1" applyBorder="1" applyAlignment="1">
      <alignment horizontal="left" vertical="top" wrapText="1"/>
    </xf>
    <xf numFmtId="166" fontId="31" fillId="6" borderId="0" xfId="1" applyNumberFormat="1" applyFont="1" applyFill="1" applyBorder="1" applyAlignment="1">
      <alignment horizontal="left"/>
    </xf>
    <xf numFmtId="166" fontId="31" fillId="6" borderId="0" xfId="1" applyNumberFormat="1" applyFont="1" applyFill="1" applyBorder="1" applyAlignment="1"/>
    <xf numFmtId="0" fontId="31" fillId="6" borderId="0" xfId="0" applyFont="1" applyFill="1" applyBorder="1" applyAlignment="1"/>
    <xf numFmtId="0" fontId="31" fillId="7" borderId="0" xfId="0" applyFont="1" applyFill="1" applyBorder="1" applyAlignment="1">
      <alignment horizontal="left" vertical="top" wrapText="1"/>
    </xf>
    <xf numFmtId="0" fontId="31" fillId="7" borderId="0" xfId="0" applyFont="1" applyFill="1" applyBorder="1" applyAlignment="1">
      <alignment horizontal="left"/>
    </xf>
    <xf numFmtId="44" fontId="31" fillId="6" borderId="36" xfId="1" applyFont="1" applyFill="1" applyBorder="1" applyAlignment="1">
      <alignment horizontal="left"/>
    </xf>
    <xf numFmtId="44" fontId="31" fillId="6" borderId="36" xfId="1" applyFont="1" applyFill="1" applyBorder="1" applyAlignment="1"/>
    <xf numFmtId="44" fontId="31" fillId="7" borderId="0" xfId="1" applyFont="1" applyFill="1" applyBorder="1" applyAlignment="1"/>
    <xf numFmtId="0" fontId="31" fillId="6" borderId="38" xfId="0" applyFont="1" applyFill="1" applyBorder="1" applyAlignment="1">
      <alignment horizontal="left"/>
    </xf>
    <xf numFmtId="0" fontId="31" fillId="6" borderId="39" xfId="0" applyFont="1" applyFill="1" applyBorder="1" applyAlignment="1">
      <alignment horizontal="left"/>
    </xf>
    <xf numFmtId="0" fontId="31" fillId="6" borderId="39" xfId="0" applyFont="1" applyFill="1" applyBorder="1" applyAlignment="1"/>
    <xf numFmtId="0" fontId="30" fillId="0" borderId="0" xfId="0" applyFont="1"/>
    <xf numFmtId="164" fontId="30" fillId="0" borderId="0" xfId="0" applyNumberFormat="1" applyFont="1"/>
    <xf numFmtId="0" fontId="29" fillId="2" borderId="0" xfId="0" applyFont="1" applyFill="1"/>
    <xf numFmtId="0" fontId="30" fillId="5" borderId="34" xfId="0" applyFont="1" applyFill="1" applyBorder="1" applyAlignment="1">
      <alignment horizontal="right"/>
    </xf>
    <xf numFmtId="0" fontId="30" fillId="5" borderId="17" xfId="0" applyFont="1" applyFill="1" applyBorder="1" applyAlignment="1">
      <alignment horizontal="right" vertical="top" wrapText="1"/>
    </xf>
    <xf numFmtId="164" fontId="31" fillId="6" borderId="0" xfId="0" applyNumberFormat="1" applyFont="1" applyFill="1" applyBorder="1" applyAlignment="1">
      <alignment horizontal="right" vertical="top" wrapText="1"/>
    </xf>
    <xf numFmtId="0" fontId="31" fillId="7" borderId="0" xfId="0" applyFont="1" applyFill="1" applyBorder="1" applyAlignment="1">
      <alignment horizontal="right"/>
    </xf>
    <xf numFmtId="0" fontId="31" fillId="6" borderId="39" xfId="0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4" fontId="31" fillId="7" borderId="0" xfId="0" applyNumberFormat="1" applyFont="1" applyFill="1" applyBorder="1" applyAlignment="1">
      <alignment horizontal="right" vertical="top" wrapText="1"/>
    </xf>
    <xf numFmtId="164" fontId="31" fillId="6" borderId="36" xfId="1" applyNumberFormat="1" applyFont="1" applyFill="1" applyBorder="1" applyAlignment="1">
      <alignment horizontal="right"/>
    </xf>
    <xf numFmtId="8" fontId="29" fillId="2" borderId="0" xfId="0" applyNumberFormat="1" applyFont="1" applyFill="1" applyAlignment="1">
      <alignment horizontal="right"/>
    </xf>
    <xf numFmtId="8" fontId="31" fillId="7" borderId="0" xfId="0" applyNumberFormat="1" applyFont="1" applyFill="1" applyBorder="1" applyAlignment="1">
      <alignment horizontal="right" vertical="top" wrapText="1"/>
    </xf>
    <xf numFmtId="8" fontId="31" fillId="6" borderId="36" xfId="1" applyNumberFormat="1" applyFont="1" applyFill="1" applyBorder="1" applyAlignment="1">
      <alignment horizontal="right" vertical="top" wrapText="1"/>
    </xf>
    <xf numFmtId="166" fontId="31" fillId="7" borderId="0" xfId="1" applyNumberFormat="1" applyFont="1" applyFill="1" applyBorder="1" applyAlignment="1">
      <alignment horizontal="right"/>
    </xf>
    <xf numFmtId="44" fontId="22" fillId="0" borderId="40" xfId="1" applyNumberFormat="1" applyFont="1" applyBorder="1"/>
    <xf numFmtId="44" fontId="1" fillId="0" borderId="40" xfId="1" applyNumberFormat="1" applyBorder="1"/>
    <xf numFmtId="44" fontId="0" fillId="0" borderId="0" xfId="0" applyNumberFormat="1"/>
    <xf numFmtId="166" fontId="8" fillId="0" borderId="41" xfId="1" applyNumberFormat="1" applyFont="1" applyBorder="1" applyAlignment="1">
      <alignment horizontal="center" wrapText="1"/>
    </xf>
    <xf numFmtId="166" fontId="8" fillId="0" borderId="30" xfId="1" applyNumberFormat="1" applyFont="1" applyBorder="1" applyAlignment="1">
      <alignment horizontal="center" wrapText="1"/>
    </xf>
    <xf numFmtId="166" fontId="32" fillId="0" borderId="0" xfId="1" applyNumberFormat="1" applyFont="1"/>
    <xf numFmtId="166" fontId="33" fillId="0" borderId="0" xfId="1" applyNumberFormat="1" applyFont="1"/>
    <xf numFmtId="44" fontId="22" fillId="0" borderId="0" xfId="1" applyNumberFormat="1" applyFont="1" applyBorder="1"/>
    <xf numFmtId="44" fontId="1" fillId="0" borderId="0" xfId="1" applyNumberFormat="1" applyBorder="1"/>
    <xf numFmtId="166" fontId="8" fillId="0" borderId="15" xfId="1" applyNumberFormat="1" applyFont="1" applyFill="1" applyBorder="1" applyAlignment="1">
      <alignment horizontal="center" wrapText="1"/>
    </xf>
    <xf numFmtId="166" fontId="8" fillId="8" borderId="29" xfId="1" applyNumberFormat="1" applyFont="1" applyFill="1" applyBorder="1" applyAlignment="1">
      <alignment horizontal="center" wrapText="1"/>
    </xf>
    <xf numFmtId="166" fontId="8" fillId="8" borderId="41" xfId="1" applyNumberFormat="1" applyFont="1" applyFill="1" applyBorder="1" applyAlignment="1">
      <alignment horizontal="center" wrapText="1"/>
    </xf>
    <xf numFmtId="166" fontId="8" fillId="8" borderId="33" xfId="1" applyNumberFormat="1" applyFont="1" applyFill="1" applyBorder="1" applyAlignment="1">
      <alignment horizontal="center" wrapText="1"/>
    </xf>
    <xf numFmtId="166" fontId="8" fillId="8" borderId="35" xfId="1" applyNumberFormat="1" applyFont="1" applyFill="1" applyBorder="1" applyAlignment="1">
      <alignment horizontal="center" wrapText="1"/>
    </xf>
    <xf numFmtId="166" fontId="8" fillId="2" borderId="42" xfId="1" applyNumberFormat="1" applyFont="1" applyFill="1" applyBorder="1" applyAlignment="1">
      <alignment horizontal="center"/>
    </xf>
    <xf numFmtId="166" fontId="8" fillId="8" borderId="43" xfId="1" applyNumberFormat="1" applyFont="1" applyFill="1" applyBorder="1" applyAlignment="1">
      <alignment horizontal="center" wrapText="1"/>
    </xf>
    <xf numFmtId="166" fontId="8" fillId="0" borderId="27" xfId="1" applyNumberFormat="1" applyFont="1" applyBorder="1"/>
    <xf numFmtId="166" fontId="1" fillId="0" borderId="0" xfId="1" applyNumberFormat="1" applyFont="1"/>
    <xf numFmtId="49" fontId="32" fillId="0" borderId="0" xfId="1" applyNumberFormat="1" applyFont="1"/>
    <xf numFmtId="0" fontId="31" fillId="0" borderId="0" xfId="0" applyFont="1" applyFill="1" applyBorder="1" applyAlignment="1">
      <alignment horizontal="left" vertical="top" wrapText="1"/>
    </xf>
    <xf numFmtId="14" fontId="31" fillId="0" borderId="0" xfId="0" applyNumberFormat="1" applyFont="1" applyFill="1" applyBorder="1" applyAlignment="1">
      <alignment horizontal="left" vertical="top" wrapText="1"/>
    </xf>
    <xf numFmtId="44" fontId="1" fillId="0" borderId="0" xfId="1" applyFont="1" applyBorder="1"/>
    <xf numFmtId="44" fontId="22" fillId="0" borderId="0" xfId="1" applyFont="1" applyBorder="1"/>
    <xf numFmtId="0" fontId="1" fillId="0" borderId="0" xfId="0" applyFont="1" applyFill="1" applyBorder="1"/>
    <xf numFmtId="44" fontId="34" fillId="0" borderId="0" xfId="1" applyNumberFormat="1" applyFont="1" applyBorder="1"/>
    <xf numFmtId="44" fontId="1" fillId="0" borderId="0" xfId="1" applyNumberFormat="1" applyFont="1" applyBorder="1"/>
    <xf numFmtId="0" fontId="2" fillId="0" borderId="0" xfId="0" applyFont="1" applyAlignment="1">
      <alignment horizontal="right"/>
    </xf>
    <xf numFmtId="0" fontId="31" fillId="9" borderId="37" xfId="0" applyFont="1" applyFill="1" applyBorder="1" applyAlignment="1">
      <alignment horizontal="left"/>
    </xf>
    <xf numFmtId="0" fontId="31" fillId="9" borderId="0" xfId="0" applyFont="1" applyFill="1" applyBorder="1" applyAlignment="1">
      <alignment horizontal="left" vertical="top" wrapText="1"/>
    </xf>
    <xf numFmtId="14" fontId="31" fillId="9" borderId="0" xfId="0" applyNumberFormat="1" applyFont="1" applyFill="1" applyBorder="1" applyAlignment="1">
      <alignment horizontal="left" vertical="top" wrapText="1"/>
    </xf>
    <xf numFmtId="4" fontId="31" fillId="9" borderId="0" xfId="0" applyNumberFormat="1" applyFont="1" applyFill="1" applyBorder="1" applyAlignment="1">
      <alignment horizontal="right" vertical="top" wrapText="1"/>
    </xf>
    <xf numFmtId="166" fontId="31" fillId="9" borderId="0" xfId="1" applyNumberFormat="1" applyFont="1" applyFill="1" applyBorder="1" applyAlignment="1">
      <alignment horizontal="left" vertical="top" wrapText="1"/>
    </xf>
    <xf numFmtId="166" fontId="31" fillId="9" borderId="0" xfId="1" applyNumberFormat="1" applyFont="1" applyFill="1" applyBorder="1" applyAlignment="1"/>
    <xf numFmtId="0" fontId="31" fillId="9" borderId="0" xfId="0" applyFont="1" applyFill="1" applyBorder="1" applyAlignment="1"/>
    <xf numFmtId="0" fontId="29" fillId="10" borderId="0" xfId="0" applyFont="1" applyFill="1"/>
    <xf numFmtId="0" fontId="31" fillId="10" borderId="0" xfId="0" applyFont="1" applyFill="1" applyBorder="1" applyAlignment="1">
      <alignment horizontal="left" vertical="top" wrapText="1"/>
    </xf>
    <xf numFmtId="14" fontId="31" fillId="10" borderId="0" xfId="0" applyNumberFormat="1" applyFont="1" applyFill="1" applyBorder="1" applyAlignment="1">
      <alignment horizontal="left" vertical="top" wrapText="1"/>
    </xf>
    <xf numFmtId="0" fontId="36" fillId="0" borderId="0" xfId="0" applyFont="1"/>
    <xf numFmtId="0" fontId="0" fillId="0" borderId="8" xfId="0" applyBorder="1"/>
    <xf numFmtId="0" fontId="36" fillId="0" borderId="8" xfId="0" applyFont="1" applyBorder="1"/>
    <xf numFmtId="0" fontId="2" fillId="0" borderId="8" xfId="0" applyFont="1" applyBorder="1" applyAlignment="1">
      <alignment horizontal="center"/>
    </xf>
    <xf numFmtId="0" fontId="22" fillId="0" borderId="8" xfId="0" applyFont="1" applyBorder="1"/>
    <xf numFmtId="0" fontId="22" fillId="0" borderId="8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44" fontId="1" fillId="0" borderId="8" xfId="1" applyNumberFormat="1" applyFont="1" applyBorder="1" applyAlignment="1">
      <alignment horizontal="right"/>
    </xf>
    <xf numFmtId="44" fontId="22" fillId="0" borderId="8" xfId="1" applyNumberFormat="1" applyFont="1" applyBorder="1" applyAlignment="1">
      <alignment horizontal="right"/>
    </xf>
    <xf numFmtId="0" fontId="36" fillId="0" borderId="8" xfId="0" applyFont="1" applyBorder="1" applyAlignment="1">
      <alignment horizontal="right"/>
    </xf>
    <xf numFmtId="0" fontId="35" fillId="0" borderId="8" xfId="2" applyFont="1" applyBorder="1" applyAlignment="1" applyProtection="1">
      <alignment vertical="top"/>
    </xf>
    <xf numFmtId="0" fontId="35" fillId="11" borderId="8" xfId="2" applyFont="1" applyFill="1" applyBorder="1" applyAlignment="1" applyProtection="1">
      <alignment vertical="top"/>
    </xf>
    <xf numFmtId="44" fontId="2" fillId="0" borderId="8" xfId="1" applyFont="1" applyBorder="1" applyAlignment="1">
      <alignment horizontal="center"/>
    </xf>
    <xf numFmtId="44" fontId="0" fillId="0" borderId="8" xfId="1" applyFont="1" applyBorder="1"/>
    <xf numFmtId="44" fontId="37" fillId="0" borderId="8" xfId="1" applyFont="1" applyBorder="1" applyAlignment="1">
      <alignment horizontal="right" vertical="top"/>
    </xf>
    <xf numFmtId="44" fontId="37" fillId="11" borderId="8" xfId="1" applyFont="1" applyFill="1" applyBorder="1" applyAlignment="1">
      <alignment horizontal="right" vertical="top"/>
    </xf>
    <xf numFmtId="44" fontId="38" fillId="11" borderId="8" xfId="1" applyFont="1" applyFill="1" applyBorder="1" applyAlignment="1">
      <alignment horizontal="right" vertical="top"/>
    </xf>
    <xf numFmtId="44" fontId="38" fillId="0" borderId="8" xfId="1" applyFont="1" applyBorder="1" applyAlignment="1">
      <alignment horizontal="right" vertical="top"/>
    </xf>
    <xf numFmtId="44" fontId="37" fillId="0" borderId="8" xfId="1" applyNumberFormat="1" applyFont="1" applyBorder="1"/>
    <xf numFmtId="44" fontId="37" fillId="0" borderId="8" xfId="1" applyFont="1" applyBorder="1"/>
    <xf numFmtId="0" fontId="0" fillId="12" borderId="8" xfId="0" applyFill="1" applyBorder="1"/>
    <xf numFmtId="0" fontId="0" fillId="13" borderId="8" xfId="0" applyFill="1" applyBorder="1"/>
    <xf numFmtId="0" fontId="0" fillId="14" borderId="8" xfId="0" applyFill="1" applyBorder="1"/>
    <xf numFmtId="166" fontId="21" fillId="0" borderId="46" xfId="1" applyNumberFormat="1" applyFont="1" applyBorder="1" applyAlignment="1">
      <alignment horizontal="center" wrapText="1"/>
    </xf>
    <xf numFmtId="166" fontId="8" fillId="0" borderId="46" xfId="1" applyNumberFormat="1" applyFont="1" applyBorder="1" applyAlignment="1">
      <alignment horizontal="center" wrapText="1"/>
    </xf>
    <xf numFmtId="166" fontId="8" fillId="8" borderId="46" xfId="1" applyNumberFormat="1" applyFont="1" applyFill="1" applyBorder="1" applyAlignment="1">
      <alignment horizontal="center" wrapText="1"/>
    </xf>
    <xf numFmtId="166" fontId="8" fillId="8" borderId="47" xfId="1" applyNumberFormat="1" applyFont="1" applyFill="1" applyBorder="1" applyAlignment="1">
      <alignment horizontal="center" wrapText="1"/>
    </xf>
    <xf numFmtId="166" fontId="8" fillId="0" borderId="48" xfId="1" applyNumberFormat="1" applyFont="1" applyFill="1" applyBorder="1" applyAlignment="1">
      <alignment horizontal="center" wrapText="1"/>
    </xf>
    <xf numFmtId="166" fontId="8" fillId="8" borderId="0" xfId="1" applyNumberFormat="1" applyFont="1" applyFill="1" applyBorder="1" applyAlignment="1">
      <alignment horizontal="center" wrapText="1"/>
    </xf>
    <xf numFmtId="166" fontId="8" fillId="2" borderId="0" xfId="1" applyNumberFormat="1" applyFont="1" applyFill="1" applyBorder="1" applyAlignment="1">
      <alignment horizontal="center"/>
    </xf>
    <xf numFmtId="166" fontId="8" fillId="8" borderId="49" xfId="1" applyNumberFormat="1" applyFont="1" applyFill="1" applyBorder="1" applyAlignment="1">
      <alignment horizontal="center" wrapText="1"/>
    </xf>
    <xf numFmtId="0" fontId="22" fillId="12" borderId="0" xfId="0" applyFont="1" applyFill="1" applyBorder="1"/>
    <xf numFmtId="0" fontId="0" fillId="12" borderId="0" xfId="0" applyFill="1" applyBorder="1"/>
    <xf numFmtId="0" fontId="1" fillId="12" borderId="0" xfId="0" applyFont="1" applyFill="1"/>
    <xf numFmtId="0" fontId="23" fillId="12" borderId="3" xfId="0" applyFont="1" applyFill="1" applyBorder="1" applyAlignment="1">
      <alignment horizontal="left" vertical="top" wrapText="1"/>
    </xf>
    <xf numFmtId="0" fontId="22" fillId="12" borderId="0" xfId="0" applyFont="1" applyFill="1" applyBorder="1" applyAlignment="1">
      <alignment horizontal="left"/>
    </xf>
    <xf numFmtId="0" fontId="14" fillId="15" borderId="8" xfId="0" applyFont="1" applyFill="1" applyBorder="1" applyAlignment="1">
      <alignment horizontal="center" wrapText="1"/>
    </xf>
    <xf numFmtId="0" fontId="14" fillId="15" borderId="8" xfId="0" quotePrefix="1" applyFont="1" applyFill="1" applyBorder="1" applyAlignment="1">
      <alignment horizontal="center" wrapText="1"/>
    </xf>
    <xf numFmtId="165" fontId="14" fillId="15" borderId="8" xfId="0" applyNumberFormat="1" applyFont="1" applyFill="1" applyBorder="1" applyAlignment="1">
      <alignment horizontal="center" wrapText="1"/>
    </xf>
    <xf numFmtId="0" fontId="40" fillId="0" borderId="8" xfId="0" applyFont="1" applyBorder="1"/>
    <xf numFmtId="0" fontId="40" fillId="0" borderId="8" xfId="0" applyFont="1" applyBorder="1" applyAlignment="1">
      <alignment horizontal="right"/>
    </xf>
    <xf numFmtId="0" fontId="40" fillId="0" borderId="8" xfId="0" applyFont="1" applyBorder="1" applyAlignment="1">
      <alignment horizontal="center"/>
    </xf>
    <xf numFmtId="0" fontId="20" fillId="0" borderId="8" xfId="0" applyFont="1" applyBorder="1"/>
    <xf numFmtId="165" fontId="40" fillId="0" borderId="8" xfId="0" applyNumberFormat="1" applyFont="1" applyBorder="1"/>
    <xf numFmtId="6" fontId="0" fillId="0" borderId="8" xfId="0" applyNumberFormat="1" applyBorder="1"/>
    <xf numFmtId="0" fontId="20" fillId="15" borderId="8" xfId="0" applyFont="1" applyFill="1" applyBorder="1" applyAlignment="1">
      <alignment horizontal="center" wrapText="1"/>
    </xf>
    <xf numFmtId="0" fontId="20" fillId="0" borderId="8" xfId="0" applyFont="1" applyBorder="1" applyAlignment="1">
      <alignment wrapText="1"/>
    </xf>
    <xf numFmtId="169" fontId="40" fillId="0" borderId="8" xfId="0" applyNumberFormat="1" applyFont="1" applyBorder="1"/>
    <xf numFmtId="6" fontId="40" fillId="0" borderId="8" xfId="0" applyNumberFormat="1" applyFont="1" applyBorder="1"/>
    <xf numFmtId="6" fontId="22" fillId="0" borderId="8" xfId="0" applyNumberFormat="1" applyFont="1" applyBorder="1"/>
    <xf numFmtId="0" fontId="14" fillId="0" borderId="50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right"/>
    </xf>
    <xf numFmtId="0" fontId="0" fillId="0" borderId="27" xfId="0" applyBorder="1"/>
    <xf numFmtId="165" fontId="8" fillId="0" borderId="28" xfId="0" applyNumberFormat="1" applyFont="1" applyBorder="1"/>
    <xf numFmtId="165" fontId="8" fillId="0" borderId="15" xfId="0" applyNumberFormat="1" applyFont="1" applyBorder="1"/>
    <xf numFmtId="165" fontId="14" fillId="0" borderId="50" xfId="0" applyNumberFormat="1" applyFont="1" applyFill="1" applyBorder="1" applyAlignment="1">
      <alignment horizontal="center" wrapText="1"/>
    </xf>
    <xf numFmtId="0" fontId="22" fillId="0" borderId="27" xfId="0" applyFont="1" applyBorder="1"/>
    <xf numFmtId="0" fontId="2" fillId="0" borderId="0" xfId="0" applyFont="1" applyAlignment="1">
      <alignment horizontal="center"/>
    </xf>
    <xf numFmtId="165" fontId="8" fillId="0" borderId="0" xfId="0" applyNumberFormat="1" applyFont="1" applyBorder="1"/>
    <xf numFmtId="166" fontId="21" fillId="0" borderId="8" xfId="1" applyNumberFormat="1" applyFont="1" applyBorder="1" applyAlignment="1">
      <alignment horizontal="center" vertical="center" wrapText="1"/>
    </xf>
    <xf numFmtId="166" fontId="8" fillId="0" borderId="20" xfId="1" applyNumberFormat="1" applyFont="1" applyBorder="1"/>
    <xf numFmtId="166" fontId="25" fillId="0" borderId="20" xfId="1" applyNumberFormat="1" applyFont="1" applyBorder="1"/>
    <xf numFmtId="168" fontId="3" fillId="0" borderId="21" xfId="1" applyNumberFormat="1" applyFont="1" applyBorder="1"/>
    <xf numFmtId="43" fontId="3" fillId="0" borderId="21" xfId="1" applyNumberFormat="1" applyFont="1" applyBorder="1"/>
    <xf numFmtId="166" fontId="21" fillId="0" borderId="0" xfId="1" applyNumberFormat="1" applyFont="1" applyAlignment="1">
      <alignment horizontal="center" wrapText="1"/>
    </xf>
    <xf numFmtId="166" fontId="42" fillId="0" borderId="27" xfId="1" applyNumberFormat="1" applyFont="1" applyBorder="1" applyAlignment="1">
      <alignment horizontal="left"/>
    </xf>
    <xf numFmtId="166" fontId="25" fillId="0" borderId="19" xfId="1" applyNumberFormat="1" applyFont="1" applyBorder="1"/>
    <xf numFmtId="166" fontId="25" fillId="0" borderId="21" xfId="1" applyNumberFormat="1" applyFont="1" applyBorder="1"/>
    <xf numFmtId="44" fontId="17" fillId="12" borderId="0" xfId="1" applyNumberFormat="1" applyFont="1" applyFill="1"/>
    <xf numFmtId="166" fontId="17" fillId="12" borderId="0" xfId="1" applyNumberFormat="1" applyFont="1" applyFill="1"/>
    <xf numFmtId="166" fontId="8" fillId="16" borderId="27" xfId="1" applyNumberFormat="1" applyFont="1" applyFill="1" applyBorder="1" applyAlignment="1">
      <alignment horizontal="center" wrapText="1"/>
    </xf>
    <xf numFmtId="0" fontId="43" fillId="0" borderId="44" xfId="0" applyFont="1" applyBorder="1" applyAlignment="1">
      <alignment horizontal="left" vertical="top" wrapText="1"/>
    </xf>
    <xf numFmtId="0" fontId="43" fillId="0" borderId="4" xfId="0" applyFont="1" applyBorder="1" applyAlignment="1">
      <alignment horizontal="left" vertical="top" wrapText="1"/>
    </xf>
    <xf numFmtId="44" fontId="43" fillId="0" borderId="5" xfId="1" applyNumberFormat="1" applyFont="1" applyBorder="1" applyAlignment="1">
      <alignment horizontal="center" vertical="top" wrapText="1"/>
    </xf>
    <xf numFmtId="44" fontId="2" fillId="0" borderId="6" xfId="1" applyNumberFormat="1" applyFont="1" applyBorder="1"/>
    <xf numFmtId="49" fontId="2" fillId="0" borderId="0" xfId="1" applyNumberFormat="1" applyFont="1" applyBorder="1" applyAlignment="1">
      <alignment horizontal="center"/>
    </xf>
    <xf numFmtId="6" fontId="8" fillId="0" borderId="15" xfId="0" applyNumberFormat="1" applyFont="1" applyBorder="1"/>
    <xf numFmtId="164" fontId="0" fillId="0" borderId="27" xfId="0" applyNumberFormat="1" applyBorder="1"/>
    <xf numFmtId="0" fontId="0" fillId="0" borderId="51" xfId="0" applyBorder="1"/>
    <xf numFmtId="0" fontId="40" fillId="0" borderId="48" xfId="0" applyFont="1" applyBorder="1"/>
    <xf numFmtId="0" fontId="0" fillId="0" borderId="48" xfId="0" applyBorder="1"/>
    <xf numFmtId="0" fontId="0" fillId="0" borderId="52" xfId="0" applyBorder="1"/>
    <xf numFmtId="0" fontId="22" fillId="0" borderId="53" xfId="0" applyFont="1" applyBorder="1"/>
    <xf numFmtId="0" fontId="0" fillId="0" borderId="54" xfId="0" applyBorder="1"/>
    <xf numFmtId="0" fontId="2" fillId="0" borderId="53" xfId="0" applyFont="1" applyBorder="1"/>
    <xf numFmtId="0" fontId="2" fillId="0" borderId="0" xfId="0" applyFont="1" applyBorder="1" applyAlignment="1">
      <alignment horizontal="center"/>
    </xf>
    <xf numFmtId="0" fontId="20" fillId="0" borderId="53" xfId="0" applyFont="1" applyBorder="1"/>
    <xf numFmtId="6" fontId="0" fillId="0" borderId="0" xfId="0" applyNumberFormat="1" applyBorder="1"/>
    <xf numFmtId="0" fontId="0" fillId="0" borderId="55" xfId="0" applyBorder="1"/>
    <xf numFmtId="6" fontId="0" fillId="0" borderId="56" xfId="0" applyNumberFormat="1" applyBorder="1"/>
    <xf numFmtId="0" fontId="0" fillId="0" borderId="56" xfId="0" applyBorder="1"/>
    <xf numFmtId="6" fontId="2" fillId="0" borderId="56" xfId="0" applyNumberFormat="1" applyFont="1" applyBorder="1"/>
    <xf numFmtId="0" fontId="6" fillId="0" borderId="56" xfId="0" applyFont="1" applyBorder="1"/>
    <xf numFmtId="0" fontId="0" fillId="0" borderId="57" xfId="0" applyBorder="1"/>
    <xf numFmtId="0" fontId="2" fillId="0" borderId="0" xfId="0" applyFont="1" applyBorder="1"/>
    <xf numFmtId="0" fontId="10" fillId="0" borderId="5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4" fillId="15" borderId="58" xfId="0" applyNumberFormat="1" applyFont="1" applyFill="1" applyBorder="1" applyAlignment="1">
      <alignment horizontal="center" wrapText="1"/>
    </xf>
    <xf numFmtId="0" fontId="10" fillId="0" borderId="53" xfId="0" applyFont="1" applyBorder="1"/>
    <xf numFmtId="0" fontId="0" fillId="0" borderId="58" xfId="0" applyBorder="1"/>
    <xf numFmtId="0" fontId="13" fillId="0" borderId="53" xfId="0" applyFont="1" applyBorder="1"/>
    <xf numFmtId="6" fontId="0" fillId="0" borderId="58" xfId="0" applyNumberFormat="1" applyBorder="1"/>
    <xf numFmtId="0" fontId="0" fillId="0" borderId="53" xfId="0" applyBorder="1"/>
    <xf numFmtId="0" fontId="40" fillId="0" borderId="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15" fillId="0" borderId="56" xfId="0" applyFont="1" applyFill="1" applyBorder="1" applyAlignment="1">
      <alignment horizontal="center" wrapText="1"/>
    </xf>
    <xf numFmtId="165" fontId="14" fillId="0" borderId="56" xfId="0" applyNumberFormat="1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0" borderId="48" xfId="0" applyFont="1" applyBorder="1"/>
    <xf numFmtId="0" fontId="2" fillId="0" borderId="0" xfId="0" applyFont="1" applyBorder="1" applyAlignment="1">
      <alignment horizontal="left"/>
    </xf>
    <xf numFmtId="166" fontId="4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Alignment="1"/>
    <xf numFmtId="166" fontId="3" fillId="0" borderId="0" xfId="1" applyNumberFormat="1" applyFont="1" applyAlignment="1">
      <alignment horizontal="center"/>
    </xf>
    <xf numFmtId="166" fontId="7" fillId="0" borderId="0" xfId="1" applyNumberFormat="1" applyFont="1" applyAlignment="1"/>
    <xf numFmtId="167" fontId="5" fillId="0" borderId="0" xfId="1" applyNumberFormat="1" applyFont="1" applyAlignment="1">
      <alignment horizontal="center"/>
    </xf>
    <xf numFmtId="167" fontId="7" fillId="0" borderId="0" xfId="1" applyNumberFormat="1" applyFont="1" applyAlignment="1"/>
    <xf numFmtId="167" fontId="0" fillId="0" borderId="0" xfId="1" applyNumberFormat="1" applyFont="1" applyAlignment="1"/>
    <xf numFmtId="166" fontId="3" fillId="0" borderId="0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/>
    <xf numFmtId="166" fontId="3" fillId="0" borderId="19" xfId="1" applyNumberFormat="1" applyFont="1" applyBorder="1"/>
    <xf numFmtId="166" fontId="3" fillId="0" borderId="20" xfId="1" applyNumberFormat="1" applyFont="1" applyBorder="1"/>
    <xf numFmtId="0" fontId="21" fillId="16" borderId="19" xfId="0" applyFont="1" applyFill="1" applyBorder="1" applyAlignment="1">
      <alignment wrapText="1"/>
    </xf>
    <xf numFmtId="0" fontId="21" fillId="16" borderId="20" xfId="0" applyFont="1" applyFill="1" applyBorder="1" applyAlignment="1">
      <alignment wrapText="1"/>
    </xf>
    <xf numFmtId="0" fontId="21" fillId="16" borderId="21" xfId="0" applyFont="1" applyFill="1" applyBorder="1" applyAlignment="1">
      <alignment wrapText="1"/>
    </xf>
    <xf numFmtId="0" fontId="20" fillId="0" borderId="55" xfId="0" applyFont="1" applyFill="1" applyBorder="1" applyAlignment="1">
      <alignment horizontal="left" wrapText="1"/>
    </xf>
    <xf numFmtId="0" fontId="20" fillId="0" borderId="56" xfId="0" applyFont="1" applyFill="1" applyBorder="1" applyAlignment="1">
      <alignment horizontal="left" wrapText="1"/>
    </xf>
    <xf numFmtId="0" fontId="30" fillId="5" borderId="17" xfId="0" applyFont="1" applyFill="1" applyBorder="1" applyAlignment="1">
      <alignment horizontal="center" vertical="top" wrapText="1"/>
    </xf>
    <xf numFmtId="0" fontId="31" fillId="6" borderId="45" xfId="0" applyFont="1" applyFill="1" applyBorder="1" applyAlignment="1">
      <alignment horizontal="left" vertical="top" wrapText="1"/>
    </xf>
    <xf numFmtId="0" fontId="31" fillId="6" borderId="36" xfId="0" applyFont="1" applyFill="1" applyBorder="1" applyAlignment="1">
      <alignment horizontal="left" vertical="top" wrapText="1"/>
    </xf>
    <xf numFmtId="44" fontId="37" fillId="11" borderId="8" xfId="1" applyFont="1" applyFill="1" applyBorder="1" applyAlignment="1">
      <alignment horizontal="right" vertical="top"/>
    </xf>
    <xf numFmtId="44" fontId="37" fillId="0" borderId="8" xfId="1" applyFont="1" applyBorder="1" applyAlignment="1">
      <alignment horizontal="right" vertical="top"/>
    </xf>
    <xf numFmtId="0" fontId="35" fillId="0" borderId="8" xfId="2" applyFont="1" applyBorder="1" applyAlignment="1" applyProtection="1">
      <alignment vertical="top"/>
    </xf>
    <xf numFmtId="0" fontId="35" fillId="11" borderId="8" xfId="2" applyFont="1" applyFill="1" applyBorder="1" applyAlignment="1" applyProtection="1">
      <alignment vertical="top"/>
    </xf>
    <xf numFmtId="4" fontId="37" fillId="0" borderId="8" xfId="0" applyNumberFormat="1" applyFont="1" applyBorder="1" applyAlignment="1">
      <alignment horizontal="right" vertical="top"/>
    </xf>
    <xf numFmtId="0" fontId="16" fillId="0" borderId="8" xfId="2" applyBorder="1" applyAlignment="1" applyProtection="1">
      <alignment vertical="top"/>
    </xf>
    <xf numFmtId="164" fontId="40" fillId="0" borderId="8" xfId="0" applyNumberFormat="1" applyFont="1" applyBorder="1" applyAlignment="1">
      <alignment horizontal="center"/>
    </xf>
    <xf numFmtId="165" fontId="22" fillId="0" borderId="28" xfId="0" applyNumberFormat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Contract Days Remaining</a:t>
            </a:r>
          </a:p>
        </c:rich>
      </c:tx>
      <c:layout>
        <c:manualLayout>
          <c:xMode val="edge"/>
          <c:yMode val="edge"/>
          <c:x val="0.33348926320918776"/>
          <c:y val="3.2581453634085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09725312468356"/>
          <c:y val="0.27067669172932346"/>
          <c:w val="0.31106987742099701"/>
          <c:h val="0.556390977443609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sphere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narVert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lt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openDmnd">
                <a:fgClr>
                  <a:srgbClr val="0066CC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(Contracts!$B$9:$B$14,Contracts!$B$15)</c:f>
              <c:strCache>
                <c:ptCount val="7"/>
                <c:pt idx="0">
                  <c:v>START Location 1</c:v>
                </c:pt>
                <c:pt idx="1">
                  <c:v>START Location 2</c:v>
                </c:pt>
                <c:pt idx="2">
                  <c:v>START REOC </c:v>
                </c:pt>
                <c:pt idx="3">
                  <c:v>START Location 3</c:v>
                </c:pt>
                <c:pt idx="4">
                  <c:v>TAGA </c:v>
                </c:pt>
                <c:pt idx="5">
                  <c:v>ASPECT</c:v>
                </c:pt>
                <c:pt idx="6">
                  <c:v>Dynamac/DATS ASPECT</c:v>
                </c:pt>
              </c:strCache>
            </c:strRef>
          </c:cat>
          <c:val>
            <c:numRef>
              <c:f>(Contracts!$G$9:$G$14,Contracts!$G$15)</c:f>
              <c:numCache>
                <c:formatCode>0</c:formatCode>
                <c:ptCount val="7"/>
                <c:pt idx="0">
                  <c:v>31.34</c:v>
                </c:pt>
                <c:pt idx="1">
                  <c:v>32.62222222222222</c:v>
                </c:pt>
                <c:pt idx="2">
                  <c:v>36.799999999999997</c:v>
                </c:pt>
                <c:pt idx="3">
                  <c:v>33.666666666666664</c:v>
                </c:pt>
                <c:pt idx="4">
                  <c:v>22.977509999999999</c:v>
                </c:pt>
                <c:pt idx="5">
                  <c:v>18.914158333333337</c:v>
                </c:pt>
                <c:pt idx="6">
                  <c:v>35.554761904761904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64133544488421"/>
          <c:y val="0.1879699248120302"/>
          <c:w val="0.45399382039270408"/>
          <c:h val="0.66416040100250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Expenditures &amp; Obligations vs. $ Un-Obligated 
</a:t>
            </a:r>
          </a:p>
        </c:rich>
      </c:tx>
      <c:layout>
        <c:manualLayout>
          <c:xMode val="edge"/>
          <c:yMode val="edge"/>
          <c:x val="0.21251624960492513"/>
          <c:y val="4.94641891847886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556714471968709"/>
          <c:y val="0.26958042295839008"/>
          <c:w val="0.30378096479791417"/>
          <c:h val="0.576259069259677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phere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horzBri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\$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(Summary!$C$6:$E$6,Summary!$K$6:$L$6)</c:f>
              <c:strCache>
                <c:ptCount val="5"/>
                <c:pt idx="0">
                  <c:v>EPA Est.Payroll Cost</c:v>
                </c:pt>
                <c:pt idx="1">
                  <c:v>EPA Est. Travel  Cost</c:v>
                </c:pt>
                <c:pt idx="2">
                  <c:v>Estimated Contract/Purchase Spent</c:v>
                </c:pt>
                <c:pt idx="3">
                  <c:v>Un-Obligated Dollars Remaining</c:v>
                </c:pt>
                <c:pt idx="4">
                  <c:v>Dollars Obligated Not Spent</c:v>
                </c:pt>
              </c:strCache>
            </c:strRef>
          </c:cat>
          <c:val>
            <c:numRef>
              <c:f>(Summary!$C$7:$E$7,Summary!$K$7:$L$7)</c:f>
              <c:numCache>
                <c:formatCode>_("$"* #,##0_);_("$"* \(#,##0\);_("$"* "-"??_);_(@_)</c:formatCode>
                <c:ptCount val="5"/>
                <c:pt idx="0">
                  <c:v>2144244.23</c:v>
                </c:pt>
                <c:pt idx="1">
                  <c:v>552223.97</c:v>
                </c:pt>
                <c:pt idx="2">
                  <c:v>10714730.020000001</c:v>
                </c:pt>
                <c:pt idx="3">
                  <c:v>2253227.8457425749</c:v>
                </c:pt>
                <c:pt idx="4">
                  <c:v>5679393.8599999975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104299789751414"/>
          <c:y val="0.2770001888721727"/>
          <c:w val="0.38070398922647786"/>
          <c:h val="0.608410933744944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Contract Days Remaining</a:t>
            </a:r>
          </a:p>
        </c:rich>
      </c:tx>
      <c:layout>
        <c:manualLayout>
          <c:xMode val="edge"/>
          <c:yMode val="edge"/>
          <c:x val="0.33465087009434286"/>
          <c:y val="3.28007105172459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33992094861655"/>
          <c:y val="0.27754506657730554"/>
          <c:w val="0.28458498023715439"/>
          <c:h val="0.544997585279072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sphere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narVert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ltHorz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openDmnd">
                <a:fgClr>
                  <a:srgbClr val="0066CC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(Contracts!$B$9:$B$14,Contracts!$B$15)</c:f>
              <c:strCache>
                <c:ptCount val="7"/>
                <c:pt idx="0">
                  <c:v>START Location 1</c:v>
                </c:pt>
                <c:pt idx="1">
                  <c:v>START Location 2</c:v>
                </c:pt>
                <c:pt idx="2">
                  <c:v>START REOC </c:v>
                </c:pt>
                <c:pt idx="3">
                  <c:v>START Location 3</c:v>
                </c:pt>
                <c:pt idx="4">
                  <c:v>TAGA </c:v>
                </c:pt>
                <c:pt idx="5">
                  <c:v>ASPECT</c:v>
                </c:pt>
                <c:pt idx="6">
                  <c:v>Dynamac/DATS ASPECT</c:v>
                </c:pt>
              </c:strCache>
            </c:strRef>
          </c:cat>
          <c:val>
            <c:numRef>
              <c:f>(Contracts!$G$9:$G$14,Contracts!$G$15)</c:f>
              <c:numCache>
                <c:formatCode>0</c:formatCode>
                <c:ptCount val="7"/>
                <c:pt idx="0">
                  <c:v>31.34</c:v>
                </c:pt>
                <c:pt idx="1">
                  <c:v>32.62222222222222</c:v>
                </c:pt>
                <c:pt idx="2">
                  <c:v>36.799999999999997</c:v>
                </c:pt>
                <c:pt idx="3">
                  <c:v>33.666666666666664</c:v>
                </c:pt>
                <c:pt idx="4">
                  <c:v>22.977509999999999</c:v>
                </c:pt>
                <c:pt idx="5">
                  <c:v>18.914158333333337</c:v>
                </c:pt>
                <c:pt idx="6">
                  <c:v>35.554761904761904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23191420755367"/>
          <c:y val="0.18671226702722779"/>
          <c:w val="0.42687747254842823"/>
          <c:h val="0.66863119382804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Expenditures &amp; Obligations vs. $ Un-Obligated 
</a:t>
            </a:r>
          </a:p>
        </c:rich>
      </c:tx>
      <c:layout>
        <c:manualLayout>
          <c:xMode val="edge"/>
          <c:yMode val="edge"/>
          <c:x val="0.19045717825417807"/>
          <c:y val="5.06329855976124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563723469286223"/>
          <c:y val="0.28860759493670884"/>
          <c:w val="0.26445654388733308"/>
          <c:h val="0.551898734177215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Vert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phere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horzBri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\$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(Summary!$C$6:$E$6,Summary!$K$6:$L$6)</c:f>
              <c:strCache>
                <c:ptCount val="5"/>
                <c:pt idx="0">
                  <c:v>EPA Est.Payroll Cost</c:v>
                </c:pt>
                <c:pt idx="1">
                  <c:v>EPA Est. Travel  Cost</c:v>
                </c:pt>
                <c:pt idx="2">
                  <c:v>Estimated Contract/Purchase Spent</c:v>
                </c:pt>
                <c:pt idx="3">
                  <c:v>Un-Obligated Dollars Remaining</c:v>
                </c:pt>
                <c:pt idx="4">
                  <c:v>Dollars Obligated Not Spent</c:v>
                </c:pt>
              </c:strCache>
            </c:strRef>
          </c:cat>
          <c:val>
            <c:numRef>
              <c:f>(Summary!$C$7:$E$7,Summary!$K$7:$L$7)</c:f>
              <c:numCache>
                <c:formatCode>_("$"* #,##0_);_("$"* \(#,##0\);_("$"* "-"??_);_(@_)</c:formatCode>
                <c:ptCount val="5"/>
                <c:pt idx="0">
                  <c:v>2144244.23</c:v>
                </c:pt>
                <c:pt idx="1">
                  <c:v>552223.97</c:v>
                </c:pt>
                <c:pt idx="2">
                  <c:v>10714730.020000001</c:v>
                </c:pt>
                <c:pt idx="3">
                  <c:v>2253227.8457425749</c:v>
                </c:pt>
                <c:pt idx="4">
                  <c:v>5679393.8599999975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17448640087914"/>
          <c:y val="0.27341780247012271"/>
          <c:w val="0.35422623266982145"/>
          <c:h val="0.622784816872510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0</xdr:rowOff>
    </xdr:from>
    <xdr:to>
      <xdr:col>4</xdr:col>
      <xdr:colOff>1371600</xdr:colOff>
      <xdr:row>26</xdr:row>
      <xdr:rowOff>371475</xdr:rowOff>
    </xdr:to>
    <xdr:graphicFrame macro="">
      <xdr:nvGraphicFramePr>
        <xdr:cNvPr id="530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16</xdr:row>
      <xdr:rowOff>371475</xdr:rowOff>
    </xdr:from>
    <xdr:to>
      <xdr:col>12</xdr:col>
      <xdr:colOff>47625</xdr:colOff>
      <xdr:row>27</xdr:row>
      <xdr:rowOff>19050</xdr:rowOff>
    </xdr:to>
    <xdr:graphicFrame macro="">
      <xdr:nvGraphicFramePr>
        <xdr:cNvPr id="53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18</xdr:row>
      <xdr:rowOff>257175</xdr:rowOff>
    </xdr:from>
    <xdr:to>
      <xdr:col>5</xdr:col>
      <xdr:colOff>76200</xdr:colOff>
      <xdr:row>28</xdr:row>
      <xdr:rowOff>219075</xdr:rowOff>
    </xdr:to>
    <xdr:graphicFrame macro="">
      <xdr:nvGraphicFramePr>
        <xdr:cNvPr id="121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952500</xdr:colOff>
      <xdr:row>18</xdr:row>
      <xdr:rowOff>257175</xdr:rowOff>
    </xdr:from>
    <xdr:to>
      <xdr:col>13</xdr:col>
      <xdr:colOff>104775</xdr:colOff>
      <xdr:row>28</xdr:row>
      <xdr:rowOff>200025</xdr:rowOff>
    </xdr:to>
    <xdr:graphicFrame macro="">
      <xdr:nvGraphicFramePr>
        <xdr:cNvPr id="122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27215</xdr:colOff>
      <xdr:row>6</xdr:row>
      <xdr:rowOff>68036</xdr:rowOff>
    </xdr:from>
    <xdr:ext cx="1456489" cy="1595309"/>
    <xdr:sp macro="" textlink="">
      <xdr:nvSpPr>
        <xdr:cNvPr id="4" name="TextBox 3"/>
        <xdr:cNvSpPr txBox="1"/>
      </xdr:nvSpPr>
      <xdr:spPr>
        <a:xfrm>
          <a:off x="1592036" y="1905000"/>
          <a:ext cx="1456489" cy="15953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200"/>
            <a:t>Taken from Mission </a:t>
          </a:r>
        </a:p>
        <a:p>
          <a:r>
            <a:rPr lang="en-US" sz="1200"/>
            <a:t>Assignment or </a:t>
          </a:r>
        </a:p>
        <a:p>
          <a:r>
            <a:rPr lang="en-US" sz="1200"/>
            <a:t>FPN OPA Funding </a:t>
          </a:r>
        </a:p>
        <a:p>
          <a:r>
            <a:rPr lang="en-US" sz="1200"/>
            <a:t>Source.</a:t>
          </a:r>
        </a:p>
        <a:p>
          <a:endParaRPr lang="en-US" sz="1200"/>
        </a:p>
        <a:p>
          <a:r>
            <a:rPr lang="en-US" sz="1200"/>
            <a:t>Note:</a:t>
          </a:r>
          <a:r>
            <a:rPr lang="en-US" sz="1200" baseline="0"/>
            <a:t> Idirect Rate is </a:t>
          </a:r>
        </a:p>
        <a:p>
          <a:r>
            <a:rPr lang="en-US" sz="1200" baseline="0"/>
            <a:t>taken out of total </a:t>
          </a:r>
        </a:p>
        <a:p>
          <a:r>
            <a:rPr lang="en-US" sz="1200" baseline="0"/>
            <a:t>funding.</a:t>
          </a:r>
          <a:endParaRPr lang="en-US" sz="1200"/>
        </a:p>
      </xdr:txBody>
    </xdr:sp>
    <xdr:clientData/>
  </xdr:oneCellAnchor>
  <xdr:oneCellAnchor>
    <xdr:from>
      <xdr:col>2</xdr:col>
      <xdr:colOff>40822</xdr:colOff>
      <xdr:row>6</xdr:row>
      <xdr:rowOff>108856</xdr:rowOff>
    </xdr:from>
    <xdr:ext cx="1401536" cy="1387929"/>
    <xdr:sp macro="" textlink="">
      <xdr:nvSpPr>
        <xdr:cNvPr id="5" name="TextBox 4"/>
        <xdr:cNvSpPr txBox="1"/>
      </xdr:nvSpPr>
      <xdr:spPr>
        <a:xfrm>
          <a:off x="2993572" y="1945820"/>
          <a:ext cx="1401536" cy="13879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See Payroll Travel Tab.</a:t>
          </a:r>
        </a:p>
        <a:p>
          <a:endParaRPr lang="en-US" sz="1200"/>
        </a:p>
        <a:p>
          <a:r>
            <a:rPr lang="en-US" sz="1200"/>
            <a:t>FORMULA: </a:t>
          </a:r>
        </a:p>
        <a:p>
          <a:r>
            <a:rPr lang="en-US" sz="1200"/>
            <a:t>='Payroll Travel'!H8</a:t>
          </a:r>
        </a:p>
        <a:p>
          <a:r>
            <a:rPr lang="en-US" sz="1200"/>
            <a:t> </a:t>
          </a:r>
        </a:p>
        <a:p>
          <a:endParaRPr lang="en-US" sz="1200"/>
        </a:p>
        <a:p>
          <a:endParaRPr lang="en-US" sz="1200"/>
        </a:p>
        <a:p>
          <a:endParaRPr lang="en-US" sz="1200"/>
        </a:p>
      </xdr:txBody>
    </xdr:sp>
    <xdr:clientData/>
  </xdr:oneCellAnchor>
  <xdr:oneCellAnchor>
    <xdr:from>
      <xdr:col>3</xdr:col>
      <xdr:colOff>0</xdr:colOff>
      <xdr:row>5</xdr:row>
      <xdr:rowOff>816427</xdr:rowOff>
    </xdr:from>
    <xdr:ext cx="1401536" cy="1646465"/>
    <xdr:sp macro="" textlink="">
      <xdr:nvSpPr>
        <xdr:cNvPr id="6" name="TextBox 5"/>
        <xdr:cNvSpPr txBox="1"/>
      </xdr:nvSpPr>
      <xdr:spPr>
        <a:xfrm>
          <a:off x="4463143" y="1836963"/>
          <a:ext cx="1401536" cy="16464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See Payroll Travel Tab.</a:t>
          </a:r>
        </a:p>
        <a:p>
          <a:endParaRPr lang="en-US" sz="1200"/>
        </a:p>
        <a:p>
          <a:r>
            <a:rPr lang="en-US" sz="1200"/>
            <a:t>FORMULA: </a:t>
          </a:r>
        </a:p>
        <a:p>
          <a:r>
            <a:rPr lang="en-US" sz="1200"/>
            <a:t>='Payroll Travel'!H18</a:t>
          </a:r>
        </a:p>
      </xdr:txBody>
    </xdr:sp>
    <xdr:clientData/>
  </xdr:oneCellAnchor>
  <xdr:oneCellAnchor>
    <xdr:from>
      <xdr:col>4</xdr:col>
      <xdr:colOff>0</xdr:colOff>
      <xdr:row>5</xdr:row>
      <xdr:rowOff>816427</xdr:rowOff>
    </xdr:from>
    <xdr:ext cx="1401536" cy="1224643"/>
    <xdr:sp macro="" textlink="">
      <xdr:nvSpPr>
        <xdr:cNvPr id="7" name="TextBox 6"/>
        <xdr:cNvSpPr txBox="1"/>
      </xdr:nvSpPr>
      <xdr:spPr>
        <a:xfrm>
          <a:off x="5783036" y="1836963"/>
          <a:ext cx="1401536" cy="1224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See</a:t>
          </a:r>
          <a:r>
            <a:rPr lang="en-US" sz="1200" baseline="0"/>
            <a:t> Contracts Tab.</a:t>
          </a:r>
        </a:p>
        <a:p>
          <a:endParaRPr lang="en-US" sz="1200" baseline="0"/>
        </a:p>
        <a:p>
          <a:r>
            <a:rPr lang="en-US" sz="1200" baseline="0"/>
            <a:t>FORMULA:</a:t>
          </a:r>
        </a:p>
        <a:p>
          <a:r>
            <a:rPr lang="en-US" sz="1200" baseline="0"/>
            <a:t>=+Contracts!D44</a:t>
          </a:r>
        </a:p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211036" cy="1496786"/>
    <xdr:sp macro="" textlink="">
      <xdr:nvSpPr>
        <xdr:cNvPr id="8" name="TextBox 7"/>
        <xdr:cNvSpPr txBox="1"/>
      </xdr:nvSpPr>
      <xdr:spPr>
        <a:xfrm>
          <a:off x="7279821" y="1836964"/>
          <a:ext cx="1211036" cy="149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(Payroll</a:t>
          </a:r>
          <a:r>
            <a:rPr lang="en-US" sz="1100" baseline="0"/>
            <a:t> + Travel + Contract Spent)</a:t>
          </a:r>
        </a:p>
        <a:p>
          <a:endParaRPr lang="en-US" sz="1100" baseline="0"/>
        </a:p>
        <a:p>
          <a:r>
            <a:rPr lang="en-US" sz="1100" baseline="0"/>
            <a:t>FORMULA: </a:t>
          </a:r>
        </a:p>
        <a:p>
          <a:r>
            <a:rPr lang="en-US" sz="1100" baseline="0"/>
            <a:t>=SUM(C7, D7, E7)</a:t>
          </a:r>
        </a:p>
        <a:p>
          <a:endParaRPr lang="en-US" sz="1100"/>
        </a:p>
      </xdr:txBody>
    </xdr:sp>
    <xdr:clientData/>
  </xdr:oneCellAnchor>
  <xdr:oneCellAnchor>
    <xdr:from>
      <xdr:col>6</xdr:col>
      <xdr:colOff>0</xdr:colOff>
      <xdr:row>5</xdr:row>
      <xdr:rowOff>816427</xdr:rowOff>
    </xdr:from>
    <xdr:ext cx="1401536" cy="1224643"/>
    <xdr:sp macro="" textlink="">
      <xdr:nvSpPr>
        <xdr:cNvPr id="9" name="TextBox 8"/>
        <xdr:cNvSpPr txBox="1"/>
      </xdr:nvSpPr>
      <xdr:spPr>
        <a:xfrm>
          <a:off x="8463643" y="1836963"/>
          <a:ext cx="1401536" cy="1224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(Ceiling minus Expenditures)</a:t>
          </a:r>
        </a:p>
        <a:p>
          <a:endParaRPr lang="en-US" sz="1200"/>
        </a:p>
        <a:p>
          <a:r>
            <a:rPr lang="en-US" sz="1200"/>
            <a:t>FORMULA: </a:t>
          </a:r>
        </a:p>
        <a:p>
          <a:r>
            <a:rPr lang="en-US" sz="1200"/>
            <a:t>= SUM(B7-F7)</a:t>
          </a:r>
        </a:p>
        <a:p>
          <a:endParaRPr lang="en-US" sz="1200"/>
        </a:p>
      </xdr:txBody>
    </xdr:sp>
    <xdr:clientData/>
  </xdr:oneCellAnchor>
  <xdr:oneCellAnchor>
    <xdr:from>
      <xdr:col>7</xdr:col>
      <xdr:colOff>40822</xdr:colOff>
      <xdr:row>6</xdr:row>
      <xdr:rowOff>27212</xdr:rowOff>
    </xdr:from>
    <xdr:ext cx="1401536" cy="1687287"/>
    <xdr:sp macro="" textlink="">
      <xdr:nvSpPr>
        <xdr:cNvPr id="10" name="TextBox 9"/>
        <xdr:cNvSpPr txBox="1"/>
      </xdr:nvSpPr>
      <xdr:spPr>
        <a:xfrm>
          <a:off x="9661072" y="1864176"/>
          <a:ext cx="1401536" cy="168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(Taken from Contracts Tab</a:t>
          </a:r>
          <a:r>
            <a:rPr lang="en-US" sz="1200" baseline="0"/>
            <a:t> - Total Contract Obligations)</a:t>
          </a:r>
        </a:p>
        <a:p>
          <a:endParaRPr lang="en-US" sz="1200" baseline="0"/>
        </a:p>
        <a:p>
          <a:r>
            <a:rPr lang="en-US" sz="1200" baseline="0"/>
            <a:t>FORMULA:  =+Contracts!C44</a:t>
          </a:r>
          <a:endParaRPr lang="en-US" sz="12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238250" cy="1564822"/>
    <xdr:sp macro="" textlink="">
      <xdr:nvSpPr>
        <xdr:cNvPr id="11" name="TextBox 10"/>
        <xdr:cNvSpPr txBox="1"/>
      </xdr:nvSpPr>
      <xdr:spPr>
        <a:xfrm>
          <a:off x="11906250" y="1836964"/>
          <a:ext cx="1238250" cy="1564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200"/>
            <a:t>(Taken from Contracts Tab</a:t>
          </a:r>
          <a:r>
            <a:rPr lang="en-US" sz="1200" baseline="0"/>
            <a:t> - Total Contract Obligations)</a:t>
          </a:r>
        </a:p>
        <a:p>
          <a:endParaRPr lang="en-US" sz="1200" baseline="0"/>
        </a:p>
        <a:p>
          <a:r>
            <a:rPr lang="en-US" sz="1200" baseline="0"/>
            <a:t>FORMULA: =Conracts!F44+'Payroll Travel'!C25</a:t>
          </a:r>
        </a:p>
        <a:p>
          <a:endParaRPr lang="en-US" sz="1100"/>
        </a:p>
      </xdr:txBody>
    </xdr:sp>
    <xdr:clientData/>
  </xdr:oneCellAnchor>
  <xdr:oneCellAnchor>
    <xdr:from>
      <xdr:col>10</xdr:col>
      <xdr:colOff>0</xdr:colOff>
      <xdr:row>5</xdr:row>
      <xdr:rowOff>806902</xdr:rowOff>
    </xdr:from>
    <xdr:ext cx="993321" cy="1768929"/>
    <xdr:sp macro="" textlink="">
      <xdr:nvSpPr>
        <xdr:cNvPr id="12" name="TextBox 11"/>
        <xdr:cNvSpPr txBox="1"/>
      </xdr:nvSpPr>
      <xdr:spPr>
        <a:xfrm>
          <a:off x="13130893" y="1827438"/>
          <a:ext cx="993321" cy="17689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200" baseline="0"/>
        </a:p>
        <a:p>
          <a:r>
            <a:rPr lang="en-US" sz="1200" baseline="0"/>
            <a:t>FORMULA: =SUM</a:t>
          </a:r>
        </a:p>
        <a:p>
          <a:r>
            <a:rPr lang="en-US" sz="1200" baseline="0"/>
            <a:t>(B7-H7-C7-D7)</a:t>
          </a:r>
        </a:p>
        <a:p>
          <a:endParaRPr lang="en-US" sz="1100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347107" cy="1768929"/>
    <xdr:sp macro="" textlink="">
      <xdr:nvSpPr>
        <xdr:cNvPr id="13" name="TextBox 12"/>
        <xdr:cNvSpPr txBox="1"/>
      </xdr:nvSpPr>
      <xdr:spPr>
        <a:xfrm>
          <a:off x="14165036" y="1836964"/>
          <a:ext cx="1347107" cy="17689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200" baseline="0"/>
        </a:p>
        <a:p>
          <a:pPr algn="ctr"/>
          <a:r>
            <a:rPr lang="en-US" sz="1200" baseline="0"/>
            <a:t>FORMULA: =SUM(H8-E8)</a:t>
          </a:r>
        </a:p>
        <a:p>
          <a:endParaRPr lang="en-US" sz="1100"/>
        </a:p>
      </xdr:txBody>
    </xdr:sp>
    <xdr:clientData/>
  </xdr:oneCellAnchor>
  <xdr:oneCellAnchor>
    <xdr:from>
      <xdr:col>9</xdr:col>
      <xdr:colOff>27214</xdr:colOff>
      <xdr:row>14</xdr:row>
      <xdr:rowOff>530679</xdr:rowOff>
    </xdr:from>
    <xdr:ext cx="3646714" cy="571500"/>
    <xdr:sp macro="" textlink="">
      <xdr:nvSpPr>
        <xdr:cNvPr id="14" name="TextBox 13"/>
        <xdr:cNvSpPr txBox="1"/>
      </xdr:nvSpPr>
      <xdr:spPr>
        <a:xfrm>
          <a:off x="12069535" y="7198179"/>
          <a:ext cx="3646714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US" sz="1200" baseline="0"/>
            <a:t>Authorized Ceiling minus Total Expenditures divided by Daily Burn Rate.     FORMULA: =SUM(B8-F8/J8)</a:t>
          </a:r>
        </a:p>
        <a:p>
          <a:endParaRPr lang="en-US" sz="1100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3646714" cy="721179"/>
    <xdr:sp macro="" textlink="">
      <xdr:nvSpPr>
        <xdr:cNvPr id="15" name="TextBox 14"/>
        <xdr:cNvSpPr txBox="1"/>
      </xdr:nvSpPr>
      <xdr:spPr>
        <a:xfrm>
          <a:off x="11906250" y="7429500"/>
          <a:ext cx="3646714" cy="7211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en-US" sz="1200" baseline="0"/>
            <a:t>Authorized Ceiling  minus  Payroll, Travel, Contracts divided by Daily Burn Rate.     FORMULA: =SUM(B8 + H8+C8+D8/J8)</a:t>
          </a: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2</xdr:row>
      <xdr:rowOff>142875</xdr:rowOff>
    </xdr:from>
    <xdr:ext cx="1571626" cy="1400176"/>
    <xdr:sp macro="" textlink="">
      <xdr:nvSpPr>
        <xdr:cNvPr id="2" name="TextBox 1"/>
        <xdr:cNvSpPr txBox="1"/>
      </xdr:nvSpPr>
      <xdr:spPr>
        <a:xfrm>
          <a:off x="4610100" y="476250"/>
          <a:ext cx="1571626" cy="140017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/>
            <a:t>Total Payroll Spent($1,942,962.03)+ Todays Daily Cost</a:t>
          </a:r>
          <a:r>
            <a:rPr lang="en-US" sz="1000" baseline="0"/>
            <a:t> ($28,755) multiplied by number of days past the last paid pay period end date (7 Days)</a:t>
          </a:r>
          <a:endParaRPr lang="en-US" sz="1000"/>
        </a:p>
      </xdr:txBody>
    </xdr:sp>
    <xdr:clientData/>
  </xdr:oneCellAnchor>
  <xdr:oneCellAnchor>
    <xdr:from>
      <xdr:col>0</xdr:col>
      <xdr:colOff>1924050</xdr:colOff>
      <xdr:row>1</xdr:row>
      <xdr:rowOff>152400</xdr:rowOff>
    </xdr:from>
    <xdr:ext cx="1209675" cy="1524000"/>
    <xdr:sp macro="" textlink="">
      <xdr:nvSpPr>
        <xdr:cNvPr id="3" name="TextBox 2"/>
        <xdr:cNvSpPr txBox="1"/>
      </xdr:nvSpPr>
      <xdr:spPr>
        <a:xfrm>
          <a:off x="1924050" y="314325"/>
          <a:ext cx="1209675" cy="15240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/>
            <a:t>$65.80 Estimated EPA hourly cost per employee including salary and EPA</a:t>
          </a:r>
          <a:r>
            <a:rPr lang="en-US" sz="1000" baseline="0"/>
            <a:t> share of benefits.</a:t>
          </a:r>
        </a:p>
        <a:p>
          <a:r>
            <a:rPr lang="en-US" sz="1000" baseline="0"/>
            <a:t>11.5 paid hours for a 7AM -7PM schedule</a:t>
          </a:r>
        </a:p>
        <a:p>
          <a:r>
            <a:rPr lang="en-US" sz="1000" baseline="0"/>
            <a:t>38 employees</a:t>
          </a:r>
          <a:endParaRPr lang="en-US" sz="1000"/>
        </a:p>
      </xdr:txBody>
    </xdr:sp>
    <xdr:clientData/>
  </xdr:oneCellAnchor>
  <xdr:oneCellAnchor>
    <xdr:from>
      <xdr:col>0</xdr:col>
      <xdr:colOff>1952625</xdr:colOff>
      <xdr:row>13</xdr:row>
      <xdr:rowOff>76200</xdr:rowOff>
    </xdr:from>
    <xdr:ext cx="1238250" cy="1190625"/>
    <xdr:sp macro="" textlink="">
      <xdr:nvSpPr>
        <xdr:cNvPr id="5" name="TextBox 4"/>
        <xdr:cNvSpPr txBox="1"/>
      </xdr:nvSpPr>
      <xdr:spPr>
        <a:xfrm>
          <a:off x="1952625" y="2914650"/>
          <a:ext cx="1238250" cy="11906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000" baseline="0"/>
        </a:p>
        <a:p>
          <a:r>
            <a:rPr lang="en-US" sz="1000"/>
            <a:t>38</a:t>
          </a:r>
          <a:r>
            <a:rPr lang="en-US" sz="1000" baseline="0"/>
            <a:t> employees times $202 estimated costs for per diem, hotel, rental car, etc.</a:t>
          </a:r>
        </a:p>
        <a:p>
          <a:endParaRPr lang="en-US" sz="1000"/>
        </a:p>
      </xdr:txBody>
    </xdr:sp>
    <xdr:clientData/>
  </xdr:oneCellAnchor>
  <xdr:oneCellAnchor>
    <xdr:from>
      <xdr:col>3</xdr:col>
      <xdr:colOff>647700</xdr:colOff>
      <xdr:row>14</xdr:row>
      <xdr:rowOff>19050</xdr:rowOff>
    </xdr:from>
    <xdr:ext cx="1238250" cy="952500"/>
    <xdr:sp macro="" textlink="">
      <xdr:nvSpPr>
        <xdr:cNvPr id="6" name="TextBox 5"/>
        <xdr:cNvSpPr txBox="1"/>
      </xdr:nvSpPr>
      <xdr:spPr>
        <a:xfrm>
          <a:off x="4848225" y="3019425"/>
          <a:ext cx="1238250" cy="9525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000" baseline="0"/>
        </a:p>
        <a:p>
          <a:r>
            <a:rPr lang="en-US" sz="1000" baseline="0"/>
            <a:t>FORMULA:???</a:t>
          </a:r>
          <a:endParaRPr 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asint.rtpnc.epa.gov/neis/ifms_doc.resolve?Doc=RE1006LDR015" TargetMode="External"/><Relationship Id="rId13" Type="http://schemas.openxmlformats.org/officeDocument/2006/relationships/hyperlink" Target="http://iasint.rtpnc.epa.gov/neis/ifms_doc.resolve?Doc=RE1006LDR032" TargetMode="External"/><Relationship Id="rId18" Type="http://schemas.openxmlformats.org/officeDocument/2006/relationships/hyperlink" Target="http://iasint.rtpnc.epa.gov/neis/ifms_doc.resolve?Doc=RE1006LDR040" TargetMode="External"/><Relationship Id="rId26" Type="http://schemas.openxmlformats.org/officeDocument/2006/relationships/hyperlink" Target="http://iasint.rtpnc.epa.gov/neis/ifms_doc.resolve?Doc=RQ1006LDR007" TargetMode="External"/><Relationship Id="rId39" Type="http://schemas.openxmlformats.org/officeDocument/2006/relationships/hyperlink" Target="http://iasint.rtpnc.epa.gov/neis/ifms_doc.resolve?Doc=RQ1006LDR030" TargetMode="External"/><Relationship Id="rId3" Type="http://schemas.openxmlformats.org/officeDocument/2006/relationships/hyperlink" Target="http://iasint.rtpnc.epa.gov/neis/ifms_doc.resolve?Doc=RE1006LDR005" TargetMode="External"/><Relationship Id="rId21" Type="http://schemas.openxmlformats.org/officeDocument/2006/relationships/hyperlink" Target="http://iasint.rtpnc.epa.gov/neis/ifms_doc.resolve?Doc=RE1006LDR044" TargetMode="External"/><Relationship Id="rId34" Type="http://schemas.openxmlformats.org/officeDocument/2006/relationships/hyperlink" Target="http://iasint.rtpnc.epa.gov/neis/ifms_doc.resolve?Doc=RQ1006LDR021" TargetMode="External"/><Relationship Id="rId42" Type="http://schemas.openxmlformats.org/officeDocument/2006/relationships/hyperlink" Target="http://iasint.rtpnc.epa.gov/neis/ifms_doc.resolve?Doc=RQ1006LDR036" TargetMode="External"/><Relationship Id="rId47" Type="http://schemas.openxmlformats.org/officeDocument/2006/relationships/hyperlink" Target="http://iasint.rtpnc.epa.gov/neis/ifms_doc.resolve?Doc=RQ1007W10132" TargetMode="External"/><Relationship Id="rId7" Type="http://schemas.openxmlformats.org/officeDocument/2006/relationships/hyperlink" Target="http://iasint.rtpnc.epa.gov/neis/ifms_doc.resolve?Doc=RE1006LDR014" TargetMode="External"/><Relationship Id="rId12" Type="http://schemas.openxmlformats.org/officeDocument/2006/relationships/hyperlink" Target="http://iasint.rtpnc.epa.gov/neis/ifms_doc.resolve?Doc=RE1006LDR025" TargetMode="External"/><Relationship Id="rId17" Type="http://schemas.openxmlformats.org/officeDocument/2006/relationships/hyperlink" Target="http://iasint.rtpnc.epa.gov/neis/ifms_doc.resolve?Doc=RE1006LDR039" TargetMode="External"/><Relationship Id="rId25" Type="http://schemas.openxmlformats.org/officeDocument/2006/relationships/hyperlink" Target="http://iasint.rtpnc.epa.gov/neis/ifms_doc.resolve?Doc=RQ1006LDR006" TargetMode="External"/><Relationship Id="rId33" Type="http://schemas.openxmlformats.org/officeDocument/2006/relationships/hyperlink" Target="http://iasint.rtpnc.epa.gov/neis/ifms_doc.resolve?Doc=RQ1006LDR020" TargetMode="External"/><Relationship Id="rId38" Type="http://schemas.openxmlformats.org/officeDocument/2006/relationships/hyperlink" Target="http://iasint.rtpnc.epa.gov/neis/ifms_doc.resolve?Doc=RQ1006LDR029" TargetMode="External"/><Relationship Id="rId46" Type="http://schemas.openxmlformats.org/officeDocument/2006/relationships/hyperlink" Target="http://iasint.rtpnc.epa.gov/neis/ifms_doc.resolve?Doc=RQ1006LDR048" TargetMode="External"/><Relationship Id="rId2" Type="http://schemas.openxmlformats.org/officeDocument/2006/relationships/hyperlink" Target="http://iasint.rtpnc.epa.gov/neis/ifms_doc.resolve?Doc=RE1006LDR004" TargetMode="External"/><Relationship Id="rId16" Type="http://schemas.openxmlformats.org/officeDocument/2006/relationships/hyperlink" Target="http://iasint.rtpnc.epa.gov/neis/ifms_doc.resolve?Doc=RE1006LDR038" TargetMode="External"/><Relationship Id="rId20" Type="http://schemas.openxmlformats.org/officeDocument/2006/relationships/hyperlink" Target="http://iasint.rtpnc.epa.gov/neis/ifms_doc.resolve?Doc=RE1006LDR043" TargetMode="External"/><Relationship Id="rId29" Type="http://schemas.openxmlformats.org/officeDocument/2006/relationships/hyperlink" Target="http://iasint.rtpnc.epa.gov/neis/ifms_doc.resolve?Doc=RQ1006LDR013" TargetMode="External"/><Relationship Id="rId41" Type="http://schemas.openxmlformats.org/officeDocument/2006/relationships/hyperlink" Target="http://iasint.rtpnc.epa.gov/neis/ifms_doc.resolve?Doc=RQ1006LDR035" TargetMode="External"/><Relationship Id="rId1" Type="http://schemas.openxmlformats.org/officeDocument/2006/relationships/hyperlink" Target="http://iasint.rtpnc.epa.gov/neis/ifms_doc.resolve?Doc=RE1006LDR001" TargetMode="External"/><Relationship Id="rId6" Type="http://schemas.openxmlformats.org/officeDocument/2006/relationships/hyperlink" Target="http://iasint.rtpnc.epa.gov/neis/ifms_doc.resolve?Doc=RE1006LDR011" TargetMode="External"/><Relationship Id="rId11" Type="http://schemas.openxmlformats.org/officeDocument/2006/relationships/hyperlink" Target="http://iasint.rtpnc.epa.gov/neis/ifms_doc.resolve?Doc=RE1006LDR024" TargetMode="External"/><Relationship Id="rId24" Type="http://schemas.openxmlformats.org/officeDocument/2006/relationships/hyperlink" Target="http://iasint.rtpnc.epa.gov/neis/ifms_doc.resolve?Doc=RQ1006LDR003" TargetMode="External"/><Relationship Id="rId32" Type="http://schemas.openxmlformats.org/officeDocument/2006/relationships/hyperlink" Target="http://iasint.rtpnc.epa.gov/neis/ifms_doc.resolve?Doc=RQ1006LDR019" TargetMode="External"/><Relationship Id="rId37" Type="http://schemas.openxmlformats.org/officeDocument/2006/relationships/hyperlink" Target="http://iasint.rtpnc.epa.gov/neis/ifms_doc.resolve?Doc=RQ1006LDR028" TargetMode="External"/><Relationship Id="rId40" Type="http://schemas.openxmlformats.org/officeDocument/2006/relationships/hyperlink" Target="http://iasint.rtpnc.epa.gov/neis/ifms_doc.resolve?Doc=RQ1006LDR031" TargetMode="External"/><Relationship Id="rId45" Type="http://schemas.openxmlformats.org/officeDocument/2006/relationships/hyperlink" Target="http://iasint.rtpnc.epa.gov/neis/ifms_doc.resolve?Doc=RQ1006LDR047" TargetMode="External"/><Relationship Id="rId5" Type="http://schemas.openxmlformats.org/officeDocument/2006/relationships/hyperlink" Target="http://iasint.rtpnc.epa.gov/neis/ifms_doc.resolve?Doc=RE1006LDR010" TargetMode="External"/><Relationship Id="rId15" Type="http://schemas.openxmlformats.org/officeDocument/2006/relationships/hyperlink" Target="http://iasint.rtpnc.epa.gov/neis/ifms_doc.resolve?Doc=RE1006LDR034" TargetMode="External"/><Relationship Id="rId23" Type="http://schemas.openxmlformats.org/officeDocument/2006/relationships/hyperlink" Target="http://iasint.rtpnc.epa.gov/neis/ifms_doc.resolve?Doc=RE1006LDR046" TargetMode="External"/><Relationship Id="rId28" Type="http://schemas.openxmlformats.org/officeDocument/2006/relationships/hyperlink" Target="http://iasint.rtpnc.epa.gov/neis/ifms_doc.resolve?Doc=RQ1006LDR012" TargetMode="External"/><Relationship Id="rId36" Type="http://schemas.openxmlformats.org/officeDocument/2006/relationships/hyperlink" Target="http://iasint.rtpnc.epa.gov/neis/ifms_doc.resolve?Doc=RQ1006LDR027" TargetMode="External"/><Relationship Id="rId10" Type="http://schemas.openxmlformats.org/officeDocument/2006/relationships/hyperlink" Target="http://iasint.rtpnc.epa.gov/neis/ifms_doc.resolve?Doc=RE1006LDR023" TargetMode="External"/><Relationship Id="rId19" Type="http://schemas.openxmlformats.org/officeDocument/2006/relationships/hyperlink" Target="http://iasint.rtpnc.epa.gov/neis/ifms_doc.resolve?Doc=RE1006LDR041" TargetMode="External"/><Relationship Id="rId31" Type="http://schemas.openxmlformats.org/officeDocument/2006/relationships/hyperlink" Target="http://iasint.rtpnc.epa.gov/neis/ifms_doc.resolve?Doc=RQ1006LDR017" TargetMode="External"/><Relationship Id="rId44" Type="http://schemas.openxmlformats.org/officeDocument/2006/relationships/hyperlink" Target="http://iasint.rtpnc.epa.gov/neis/ifms_doc.resolve?Doc=RQ1006LDR042" TargetMode="External"/><Relationship Id="rId4" Type="http://schemas.openxmlformats.org/officeDocument/2006/relationships/hyperlink" Target="http://iasint.rtpnc.epa.gov/neis/ifms_doc.resolve?Doc=RE1006LDR008" TargetMode="External"/><Relationship Id="rId9" Type="http://schemas.openxmlformats.org/officeDocument/2006/relationships/hyperlink" Target="http://iasint.rtpnc.epa.gov/neis/ifms_doc.resolve?Doc=RE1006LDR022" TargetMode="External"/><Relationship Id="rId14" Type="http://schemas.openxmlformats.org/officeDocument/2006/relationships/hyperlink" Target="http://iasint.rtpnc.epa.gov/neis/ifms_doc.resolve?Doc=RE1006LDR033" TargetMode="External"/><Relationship Id="rId22" Type="http://schemas.openxmlformats.org/officeDocument/2006/relationships/hyperlink" Target="http://iasint.rtpnc.epa.gov/neis/ifms_doc.resolve?Doc=RE1006LDR045" TargetMode="External"/><Relationship Id="rId27" Type="http://schemas.openxmlformats.org/officeDocument/2006/relationships/hyperlink" Target="http://iasint.rtpnc.epa.gov/neis/ifms_doc.resolve?Doc=RQ1006LDR009" TargetMode="External"/><Relationship Id="rId30" Type="http://schemas.openxmlformats.org/officeDocument/2006/relationships/hyperlink" Target="http://iasint.rtpnc.epa.gov/neis/ifms_doc.resolve?Doc=RQ1006LDR016" TargetMode="External"/><Relationship Id="rId35" Type="http://schemas.openxmlformats.org/officeDocument/2006/relationships/hyperlink" Target="http://iasint.rtpnc.epa.gov/neis/ifms_doc.resolve?Doc=RQ1006LDR026" TargetMode="External"/><Relationship Id="rId43" Type="http://schemas.openxmlformats.org/officeDocument/2006/relationships/hyperlink" Target="http://iasint.rtpnc.epa.gov/neis/ifms_doc.resolve?Doc=RQ1006LDR037" TargetMode="External"/><Relationship Id="rId48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workbookViewId="0">
      <selection activeCell="A3" sqref="A3:I3"/>
    </sheetView>
  </sheetViews>
  <sheetFormatPr defaultRowHeight="12.75"/>
  <cols>
    <col min="1" max="2" width="20.7109375" customWidth="1"/>
    <col min="3" max="3" width="22.5703125" customWidth="1"/>
    <col min="4" max="4" width="19.7109375" customWidth="1"/>
    <col min="5" max="5" width="22.42578125" customWidth="1"/>
    <col min="6" max="6" width="17.7109375" customWidth="1"/>
    <col min="7" max="7" width="17.42578125" customWidth="1"/>
    <col min="8" max="8" width="19.5703125" customWidth="1"/>
    <col min="9" max="9" width="9.42578125" customWidth="1"/>
    <col min="10" max="10" width="18.28515625" bestFit="1" customWidth="1"/>
    <col min="11" max="11" width="15.42578125" customWidth="1"/>
    <col min="12" max="12" width="20.85546875" customWidth="1"/>
  </cols>
  <sheetData>
    <row r="1" spans="1:12" ht="20.25">
      <c r="A1" s="308" t="s">
        <v>175</v>
      </c>
      <c r="B1" s="308"/>
      <c r="C1" s="309"/>
      <c r="D1" s="309"/>
      <c r="E1" s="309"/>
      <c r="F1" s="309"/>
      <c r="G1" s="310"/>
      <c r="H1" s="310"/>
      <c r="I1" s="310"/>
      <c r="J1" s="30"/>
      <c r="K1" s="30"/>
      <c r="L1" s="30"/>
    </row>
    <row r="2" spans="1:12" ht="6.75" customHeight="1">
      <c r="A2" s="30"/>
      <c r="B2" s="30"/>
      <c r="C2" s="31"/>
      <c r="D2" s="31"/>
      <c r="E2" s="31"/>
      <c r="F2" s="31"/>
      <c r="G2" s="30"/>
      <c r="H2" s="30"/>
      <c r="I2" s="30"/>
      <c r="J2" s="30"/>
      <c r="K2" s="30"/>
      <c r="L2" s="30"/>
    </row>
    <row r="3" spans="1:12" ht="18">
      <c r="A3" s="311" t="s">
        <v>176</v>
      </c>
      <c r="B3" s="311"/>
      <c r="C3" s="312"/>
      <c r="D3" s="312"/>
      <c r="E3" s="312"/>
      <c r="F3" s="312"/>
      <c r="G3" s="310"/>
      <c r="H3" s="310"/>
      <c r="I3" s="310"/>
      <c r="J3" s="30"/>
      <c r="K3" s="30"/>
      <c r="L3" s="30"/>
    </row>
    <row r="4" spans="1:12" ht="18.75" thickBot="1">
      <c r="A4" s="313" t="str">
        <f>+Summary!$A$4</f>
        <v>DATE</v>
      </c>
      <c r="B4" s="313"/>
      <c r="C4" s="314"/>
      <c r="D4" s="314"/>
      <c r="E4" s="314"/>
      <c r="F4" s="314"/>
      <c r="G4" s="315"/>
      <c r="H4" s="315"/>
      <c r="I4" s="315"/>
      <c r="J4" s="30"/>
      <c r="K4" s="30"/>
      <c r="L4" s="30"/>
    </row>
    <row r="5" spans="1:12" ht="16.5" thickBot="1">
      <c r="A5" s="85"/>
      <c r="B5" s="86"/>
      <c r="C5" s="76"/>
      <c r="D5" s="77"/>
      <c r="E5" s="77"/>
      <c r="F5" s="78"/>
      <c r="G5" s="82"/>
      <c r="H5" s="83"/>
      <c r="I5" s="80"/>
      <c r="J5" s="96"/>
      <c r="K5" s="96"/>
      <c r="L5" s="81"/>
    </row>
    <row r="6" spans="1:12" ht="63.75" thickBot="1">
      <c r="A6" s="79"/>
      <c r="B6" s="84" t="s">
        <v>19</v>
      </c>
      <c r="C6" s="73" t="s">
        <v>46</v>
      </c>
      <c r="D6" s="73" t="s">
        <v>47</v>
      </c>
      <c r="E6" s="74" t="s">
        <v>56</v>
      </c>
      <c r="F6" s="75" t="s">
        <v>54</v>
      </c>
      <c r="G6" s="79" t="s">
        <v>53</v>
      </c>
      <c r="H6" s="90" t="s">
        <v>55</v>
      </c>
      <c r="I6" s="92"/>
      <c r="J6" s="84" t="s">
        <v>20</v>
      </c>
      <c r="K6" s="100" t="s">
        <v>58</v>
      </c>
      <c r="L6" s="102" t="s">
        <v>59</v>
      </c>
    </row>
    <row r="7" spans="1:12" ht="45.75" thickBot="1">
      <c r="A7" s="32" t="s">
        <v>177</v>
      </c>
      <c r="B7" s="157">
        <f>'OPA PRFA'!G11</f>
        <v>21343819.925742574</v>
      </c>
      <c r="C7" s="165">
        <f>+'Payroll Travel'!H8</f>
        <v>2144244.23</v>
      </c>
      <c r="D7" s="165">
        <f>'Payroll Travel'!H18</f>
        <v>552223.97</v>
      </c>
      <c r="E7" s="166">
        <f>+Contracts!D46</f>
        <v>10714730.020000001</v>
      </c>
      <c r="F7" s="163">
        <f>SUM(C7:E7)</f>
        <v>13411198.220000003</v>
      </c>
      <c r="G7" s="167">
        <f>SUM(B7-F7)</f>
        <v>7932621.7057425715</v>
      </c>
      <c r="H7" s="168">
        <f>+Contracts!C46</f>
        <v>16394123.879999999</v>
      </c>
      <c r="I7" s="92"/>
      <c r="J7" s="169">
        <f>+Contracts!F46+'Payroll Travel'!C25</f>
        <v>213668.37736111111</v>
      </c>
      <c r="K7" s="55">
        <f>SUM(B7-H7-C7-D7)</f>
        <v>2253227.8457425749</v>
      </c>
      <c r="L7" s="170">
        <f>SUM(H9-E9)</f>
        <v>5679393.8599999975</v>
      </c>
    </row>
    <row r="8" spans="1:12" ht="45.75" thickBot="1">
      <c r="A8" s="219" t="s">
        <v>177</v>
      </c>
      <c r="B8" s="220"/>
      <c r="C8" s="221"/>
      <c r="D8" s="221"/>
      <c r="E8" s="222"/>
      <c r="F8" s="223"/>
      <c r="G8" s="224"/>
      <c r="H8" s="225"/>
      <c r="I8" s="92"/>
      <c r="J8" s="226"/>
      <c r="K8" s="55"/>
      <c r="L8" s="170"/>
    </row>
    <row r="9" spans="1:12" ht="16.5" thickBot="1">
      <c r="A9" s="33" t="s">
        <v>209</v>
      </c>
      <c r="B9" s="34">
        <f>+B7</f>
        <v>21343819.925742574</v>
      </c>
      <c r="C9" s="34">
        <f>+C7</f>
        <v>2144244.23</v>
      </c>
      <c r="D9" s="34">
        <f>+D7</f>
        <v>552223.97</v>
      </c>
      <c r="E9" s="35">
        <f>+E7</f>
        <v>10714730.020000001</v>
      </c>
      <c r="F9" s="87">
        <f>+F7</f>
        <v>13411198.220000003</v>
      </c>
      <c r="G9" s="94">
        <f>SUM(B9-F9)</f>
        <v>7932621.7057425715</v>
      </c>
      <c r="H9" s="91">
        <f>+H7</f>
        <v>16394123.879999999</v>
      </c>
      <c r="I9" s="93"/>
      <c r="J9" s="36">
        <f>+J7</f>
        <v>213668.37736111111</v>
      </c>
      <c r="K9" s="101">
        <f>+K7</f>
        <v>2253227.8457425749</v>
      </c>
      <c r="L9" s="103">
        <f>+L7</f>
        <v>5679393.8599999975</v>
      </c>
    </row>
    <row r="10" spans="1:12" ht="19.5" thickTop="1" thickBot="1">
      <c r="A10" s="316"/>
      <c r="B10" s="316"/>
      <c r="C10" s="317"/>
      <c r="D10" s="317"/>
      <c r="E10" s="317"/>
      <c r="F10" s="317"/>
      <c r="G10" s="317"/>
      <c r="H10" s="317"/>
      <c r="I10" s="317"/>
      <c r="J10" s="317"/>
      <c r="K10" s="55"/>
      <c r="L10" s="55"/>
    </row>
    <row r="11" spans="1:12" ht="30.75" thickBot="1">
      <c r="A11" s="97" t="s">
        <v>22</v>
      </c>
      <c r="B11" s="158">
        <f>'OPA PRFA'!C30</f>
        <v>2800309.1742574261</v>
      </c>
      <c r="C11" s="158">
        <f>+Summary!C10</f>
        <v>281324.84297600004</v>
      </c>
      <c r="D11" s="158">
        <f>+Summary!D10</f>
        <v>72451.784864000001</v>
      </c>
      <c r="E11" s="158">
        <f>+Summary!E10</f>
        <v>1405772.5786240003</v>
      </c>
      <c r="F11" s="158">
        <f>+Summary!F10</f>
        <v>1759549.2064640003</v>
      </c>
      <c r="G11" s="158">
        <f>+Summary!G10</f>
        <v>1040759.9677934258</v>
      </c>
      <c r="H11" s="158">
        <f>+Summary!H10</f>
        <v>2150909.0530560003</v>
      </c>
      <c r="I11" s="158" t="s">
        <v>3</v>
      </c>
      <c r="J11" s="158">
        <f>+Summary!J10</f>
        <v>28033.29110977778</v>
      </c>
      <c r="K11" s="158">
        <f>+Summary!K10</f>
        <v>295623.49336142588</v>
      </c>
      <c r="L11" s="158">
        <f>+Summary!L10</f>
        <v>745136.47443199973</v>
      </c>
    </row>
    <row r="12" spans="1:12" ht="29.25" customHeight="1" thickBot="1">
      <c r="A12" s="33"/>
      <c r="B12" s="33"/>
      <c r="C12" s="38"/>
      <c r="D12" s="38"/>
      <c r="E12" s="39"/>
      <c r="F12" s="40"/>
      <c r="G12" s="41"/>
      <c r="H12" s="42"/>
      <c r="I12" s="38"/>
      <c r="J12" s="34"/>
      <c r="K12" s="34"/>
      <c r="L12" s="34"/>
    </row>
    <row r="13" spans="1:12" ht="29.25" customHeight="1" thickTop="1" thickBot="1">
      <c r="A13" s="43"/>
      <c r="B13" s="43"/>
      <c r="C13" s="44"/>
      <c r="D13" s="44"/>
      <c r="E13" s="44"/>
      <c r="F13" s="44"/>
      <c r="G13" s="44"/>
      <c r="H13" s="45"/>
      <c r="I13" s="44"/>
      <c r="J13" s="46"/>
      <c r="K13" s="55"/>
      <c r="L13" s="55"/>
    </row>
    <row r="14" spans="1:12" ht="36.75" thickBot="1">
      <c r="A14" s="47" t="s">
        <v>178</v>
      </c>
      <c r="B14" s="50">
        <f>+B9+B11</f>
        <v>24144129.100000001</v>
      </c>
      <c r="C14" s="48">
        <f>+Summary!C13</f>
        <v>2425569.0729760001</v>
      </c>
      <c r="D14" s="48">
        <f>+Summary!D13</f>
        <v>624675.75486400002</v>
      </c>
      <c r="E14" s="48">
        <f>+Summary!E13</f>
        <v>12120502.598624002</v>
      </c>
      <c r="F14" s="48">
        <f>+Summary!F13</f>
        <v>15170747.426464003</v>
      </c>
      <c r="G14" s="48">
        <f>+Summary!G13</f>
        <v>8973381.673535997</v>
      </c>
      <c r="H14" s="49">
        <f>+Summary!H13</f>
        <v>18545032.933056001</v>
      </c>
      <c r="I14" s="89"/>
      <c r="J14" s="48">
        <f>+Summary!J13</f>
        <v>241701.66847088889</v>
      </c>
      <c r="K14" s="48">
        <f>+Summary!K13</f>
        <v>2548851.3391040009</v>
      </c>
      <c r="L14" s="48">
        <f>+Summary!L13</f>
        <v>6424530.3344319975</v>
      </c>
    </row>
    <row r="15" spans="1:12" ht="18">
      <c r="A15" s="51"/>
      <c r="B15" s="51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30.75" customHeight="1">
      <c r="A16" s="44"/>
      <c r="B16" s="44"/>
      <c r="C16" s="52"/>
      <c r="D16" s="52"/>
      <c r="E16" s="52"/>
      <c r="F16" s="52"/>
      <c r="G16" s="30"/>
      <c r="H16" s="30"/>
      <c r="I16" s="67" t="s">
        <v>3</v>
      </c>
      <c r="J16" s="30"/>
      <c r="K16" s="30"/>
      <c r="L16" s="30"/>
    </row>
    <row r="17" spans="1:12" ht="30" customHeight="1">
      <c r="A17" s="44" t="s">
        <v>3</v>
      </c>
      <c r="B17" s="44"/>
      <c r="C17" s="53"/>
      <c r="D17" s="53"/>
      <c r="E17" s="53"/>
      <c r="F17" s="53"/>
      <c r="G17" s="53"/>
      <c r="H17" s="54"/>
      <c r="I17" s="72" t="s">
        <v>3</v>
      </c>
      <c r="J17" s="54"/>
      <c r="K17" s="54"/>
      <c r="L17" s="54"/>
    </row>
    <row r="18" spans="1:12" ht="30" customHeight="1">
      <c r="A18" s="55" t="s">
        <v>3</v>
      </c>
      <c r="B18" s="55"/>
      <c r="C18" s="55"/>
      <c r="D18" s="55"/>
      <c r="E18" s="55"/>
      <c r="F18" s="55"/>
      <c r="G18" s="55"/>
      <c r="H18" s="55"/>
      <c r="I18" s="88" t="s">
        <v>3</v>
      </c>
      <c r="J18" s="55"/>
      <c r="K18" s="55"/>
      <c r="L18" s="55"/>
    </row>
    <row r="19" spans="1:12" ht="30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30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30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30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30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30" customHeight="1">
      <c r="A24" s="37"/>
      <c r="B24" s="37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30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30" customHeight="1">
      <c r="A26" s="56"/>
      <c r="B26" s="56"/>
      <c r="C26" s="56"/>
      <c r="D26" s="57"/>
      <c r="E26" s="57"/>
      <c r="F26" s="57"/>
      <c r="G26" s="56"/>
      <c r="H26" s="57"/>
      <c r="I26" s="56"/>
      <c r="J26" s="30"/>
      <c r="K26" s="30"/>
      <c r="L26" s="30"/>
    </row>
    <row r="27" spans="1:12" ht="30" customHeight="1">
      <c r="A27" s="56"/>
      <c r="B27" s="56"/>
      <c r="C27" s="56"/>
      <c r="D27" s="57"/>
      <c r="E27" s="57"/>
      <c r="F27" s="57"/>
      <c r="G27" s="58"/>
      <c r="H27" s="57"/>
      <c r="I27" s="56"/>
      <c r="J27" s="30"/>
      <c r="K27" s="30"/>
      <c r="L27" s="30"/>
    </row>
    <row r="28" spans="1:12" ht="30" customHeight="1">
      <c r="A28" s="56"/>
      <c r="B28" s="56"/>
      <c r="C28" s="56"/>
      <c r="D28" s="56"/>
      <c r="E28" s="56"/>
      <c r="F28" s="56"/>
      <c r="G28" s="56"/>
      <c r="H28" s="56"/>
      <c r="I28" s="56"/>
      <c r="J28" s="30"/>
      <c r="K28" s="30"/>
      <c r="L28" s="30"/>
    </row>
    <row r="29" spans="1:12" ht="30" customHeight="1">
      <c r="A29" s="172" t="str">
        <f>+Summary!A28</f>
        <v xml:space="preserve"> </v>
      </c>
      <c r="B29" s="159"/>
      <c r="C29" s="159"/>
      <c r="D29" s="160"/>
      <c r="E29" s="160"/>
      <c r="F29" s="160"/>
      <c r="G29" s="56"/>
      <c r="H29" s="59"/>
      <c r="I29" s="56"/>
      <c r="J29" s="30"/>
      <c r="K29" s="30"/>
      <c r="L29" s="30"/>
    </row>
  </sheetData>
  <mergeCells count="4">
    <mergeCell ref="A1:I1"/>
    <mergeCell ref="A3:I3"/>
    <mergeCell ref="A4:I4"/>
    <mergeCell ref="A10:J10"/>
  </mergeCells>
  <phoneticPr fontId="18" type="noConversion"/>
  <pageMargins left="0.25" right="0.25" top="0.5" bottom="0.5" header="0.5" footer="0.5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0" zoomScaleNormal="70" zoomScaleSheetLayoutView="75" workbookViewId="0">
      <selection activeCell="G18" sqref="G18"/>
    </sheetView>
  </sheetViews>
  <sheetFormatPr defaultRowHeight="12.75"/>
  <cols>
    <col min="1" max="1" width="23.42578125" style="30" customWidth="1"/>
    <col min="2" max="2" width="20.7109375" style="30" customWidth="1"/>
    <col min="3" max="3" width="22.5703125" style="30" customWidth="1"/>
    <col min="4" max="4" width="19.7109375" style="30" customWidth="1"/>
    <col min="5" max="5" width="22.42578125" style="30" customWidth="1"/>
    <col min="6" max="6" width="17.7109375" style="30" customWidth="1"/>
    <col min="7" max="7" width="17.42578125" style="30" customWidth="1"/>
    <col min="8" max="8" width="22.5703125" style="30" customWidth="1"/>
    <col min="9" max="9" width="13.5703125" style="30" customWidth="1"/>
    <col min="10" max="10" width="18.28515625" style="30" bestFit="1" customWidth="1"/>
    <col min="11" max="11" width="15.42578125" style="30" customWidth="1"/>
    <col min="12" max="12" width="20.85546875" style="30" customWidth="1"/>
    <col min="13" max="16384" width="9.140625" style="30"/>
  </cols>
  <sheetData>
    <row r="1" spans="1:13" ht="20.25">
      <c r="A1" s="308" t="s">
        <v>205</v>
      </c>
      <c r="B1" s="308"/>
      <c r="C1" s="309"/>
      <c r="D1" s="309"/>
      <c r="E1" s="309"/>
      <c r="F1" s="309"/>
      <c r="G1" s="310"/>
      <c r="H1" s="310"/>
      <c r="I1" s="310"/>
    </row>
    <row r="2" spans="1:13" ht="6.75" customHeight="1">
      <c r="C2" s="31"/>
      <c r="D2" s="31"/>
      <c r="E2" s="31"/>
      <c r="F2" s="31"/>
    </row>
    <row r="3" spans="1:13" ht="18">
      <c r="A3" s="311" t="s">
        <v>186</v>
      </c>
      <c r="B3" s="311"/>
      <c r="C3" s="312"/>
      <c r="D3" s="312"/>
      <c r="E3" s="312"/>
      <c r="F3" s="312"/>
      <c r="G3" s="310"/>
      <c r="H3" s="310"/>
      <c r="I3" s="310"/>
    </row>
    <row r="4" spans="1:13" ht="18.75" thickBot="1">
      <c r="A4" s="313" t="s">
        <v>184</v>
      </c>
      <c r="B4" s="313"/>
      <c r="C4" s="314"/>
      <c r="D4" s="314"/>
      <c r="E4" s="314"/>
      <c r="F4" s="314"/>
      <c r="G4" s="315"/>
      <c r="H4" s="315"/>
      <c r="I4" s="315"/>
    </row>
    <row r="5" spans="1:13" ht="15.75" customHeight="1" thickBot="1">
      <c r="A5" s="85"/>
      <c r="B5" s="86"/>
      <c r="C5" s="76"/>
      <c r="D5" s="77"/>
      <c r="E5" s="77"/>
      <c r="F5" s="78"/>
      <c r="G5" s="82"/>
      <c r="H5" s="83"/>
      <c r="I5" s="80"/>
      <c r="J5" s="96"/>
      <c r="K5" s="96"/>
      <c r="L5" s="81"/>
    </row>
    <row r="6" spans="1:13" ht="63.75" thickBot="1">
      <c r="A6" s="79" t="s">
        <v>185</v>
      </c>
      <c r="B6" s="84" t="s">
        <v>19</v>
      </c>
      <c r="C6" s="73" t="s">
        <v>198</v>
      </c>
      <c r="D6" s="73" t="s">
        <v>47</v>
      </c>
      <c r="E6" s="74" t="s">
        <v>56</v>
      </c>
      <c r="F6" s="75" t="s">
        <v>54</v>
      </c>
      <c r="G6" s="79" t="s">
        <v>199</v>
      </c>
      <c r="H6" s="90" t="s">
        <v>55</v>
      </c>
      <c r="I6" s="266" t="s">
        <v>208</v>
      </c>
      <c r="J6" s="84" t="s">
        <v>20</v>
      </c>
      <c r="K6" s="100" t="s">
        <v>58</v>
      </c>
      <c r="L6" s="102" t="s">
        <v>59</v>
      </c>
      <c r="M6" s="52"/>
    </row>
    <row r="7" spans="1:13" ht="171" customHeight="1" thickBot="1">
      <c r="A7" s="255" t="s">
        <v>206</v>
      </c>
      <c r="B7" s="157">
        <f>'OPA PRFA'!G11</f>
        <v>21343819.925742574</v>
      </c>
      <c r="C7" s="165">
        <f>'Payroll Travel'!H8</f>
        <v>2144244.23</v>
      </c>
      <c r="D7" s="165">
        <f>'Payroll Travel'!H18</f>
        <v>552223.97</v>
      </c>
      <c r="E7" s="166">
        <f>Contracts!D46</f>
        <v>10714730.020000001</v>
      </c>
      <c r="F7" s="163">
        <f>SUM(C7:E7)</f>
        <v>13411198.220000003</v>
      </c>
      <c r="G7" s="167">
        <f>SUM(B7-F7)</f>
        <v>7932621.7057425715</v>
      </c>
      <c r="H7" s="168">
        <f>+Contracts!C46</f>
        <v>16394123.879999999</v>
      </c>
      <c r="I7" s="261" t="s">
        <v>207</v>
      </c>
      <c r="J7" s="169">
        <f>Contracts!F46+'Payroll Travel'!C25</f>
        <v>213668.37736111111</v>
      </c>
      <c r="K7" s="55">
        <f>SUM(B7-H7-C7-D7)</f>
        <v>2253227.8457425749</v>
      </c>
      <c r="L7" s="170">
        <f>SUM(H8-E8)</f>
        <v>5679393.8599999975</v>
      </c>
    </row>
    <row r="8" spans="1:13" s="37" customFormat="1" ht="37.5" customHeight="1" thickBot="1">
      <c r="A8" s="33" t="s">
        <v>204</v>
      </c>
      <c r="B8" s="34">
        <f>B7</f>
        <v>21343819.925742574</v>
      </c>
      <c r="C8" s="34">
        <f>C7</f>
        <v>2144244.23</v>
      </c>
      <c r="D8" s="34">
        <f>D7</f>
        <v>552223.97</v>
      </c>
      <c r="E8" s="35">
        <f>E7</f>
        <v>10714730.020000001</v>
      </c>
      <c r="F8" s="87">
        <f>F7</f>
        <v>13411198.220000003</v>
      </c>
      <c r="G8" s="94">
        <f>SUM(B8-F8)</f>
        <v>7932621.7057425715</v>
      </c>
      <c r="H8" s="91">
        <f>+H7</f>
        <v>16394123.879999999</v>
      </c>
      <c r="I8" s="93"/>
      <c r="J8" s="36">
        <f>J7</f>
        <v>213668.37736111111</v>
      </c>
      <c r="K8" s="101">
        <f>K7</f>
        <v>2253227.8457425749</v>
      </c>
      <c r="L8" s="103">
        <f>+L7</f>
        <v>5679393.8599999975</v>
      </c>
    </row>
    <row r="9" spans="1:13" s="37" customFormat="1" ht="23.25" customHeight="1" thickTop="1" thickBot="1">
      <c r="A9" s="316"/>
      <c r="B9" s="316"/>
      <c r="C9" s="317"/>
      <c r="D9" s="317"/>
      <c r="E9" s="317"/>
      <c r="F9" s="317"/>
      <c r="G9" s="317"/>
      <c r="H9" s="317"/>
      <c r="I9" s="317"/>
      <c r="J9" s="317"/>
      <c r="K9" s="55"/>
      <c r="L9" s="55"/>
    </row>
    <row r="10" spans="1:13" s="37" customFormat="1" ht="34.5" customHeight="1" thickBot="1">
      <c r="A10" s="97" t="s">
        <v>22</v>
      </c>
      <c r="B10" s="98">
        <f>'OPA PRFA'!C30</f>
        <v>2800309.1742574261</v>
      </c>
      <c r="C10" s="99">
        <f>+C8*'OPA PRFA'!$B$30</f>
        <v>281324.84297600004</v>
      </c>
      <c r="D10" s="99">
        <f>+D8*'OPA PRFA'!$B$30</f>
        <v>72451.784864000001</v>
      </c>
      <c r="E10" s="99">
        <f>+E8*'OPA PRFA'!$B$30</f>
        <v>1405772.5786240003</v>
      </c>
      <c r="F10" s="163">
        <f>SUM(C10:E10)</f>
        <v>1759549.2064640003</v>
      </c>
      <c r="G10" s="164">
        <f>SUM(B10-F10)</f>
        <v>1040759.9677934258</v>
      </c>
      <c r="H10" s="99">
        <f>+H8*'OPA PRFA'!$B$30</f>
        <v>2150909.0530560003</v>
      </c>
      <c r="I10" s="99"/>
      <c r="J10" s="99">
        <f>+J8*'OPA PRFA'!$B$30</f>
        <v>28033.29110977778</v>
      </c>
      <c r="K10" s="99">
        <f>+K8*'OPA PRFA'!$B$30</f>
        <v>295623.49336142588</v>
      </c>
      <c r="L10" s="99">
        <f>+L8*'OPA PRFA'!$B$30</f>
        <v>745136.47443199973</v>
      </c>
    </row>
    <row r="11" spans="1:13" s="37" customFormat="1" ht="30" customHeight="1" thickBot="1">
      <c r="A11" s="33"/>
      <c r="B11" s="33"/>
      <c r="C11" s="38"/>
      <c r="D11" s="38"/>
      <c r="E11" s="39"/>
      <c r="F11" s="40"/>
      <c r="G11" s="41"/>
      <c r="H11" s="42"/>
      <c r="I11" s="38"/>
      <c r="J11" s="34"/>
      <c r="K11" s="34"/>
      <c r="L11" s="34"/>
    </row>
    <row r="12" spans="1:13" s="37" customFormat="1" ht="30" customHeight="1" thickTop="1" thickBot="1">
      <c r="A12" s="43"/>
      <c r="B12" s="43"/>
      <c r="C12" s="44"/>
      <c r="D12" s="44"/>
      <c r="E12" s="44"/>
      <c r="F12" s="44"/>
      <c r="G12" s="44"/>
      <c r="H12" s="45"/>
      <c r="I12" s="44"/>
      <c r="J12" s="46"/>
      <c r="K12" s="55"/>
      <c r="L12" s="55"/>
    </row>
    <row r="13" spans="1:13" s="37" customFormat="1" ht="36.75" thickBot="1">
      <c r="A13" s="47" t="s">
        <v>197</v>
      </c>
      <c r="B13" s="50">
        <f t="shared" ref="B13:H13" si="0">+B8+B10</f>
        <v>24144129.100000001</v>
      </c>
      <c r="C13" s="48">
        <f t="shared" si="0"/>
        <v>2425569.0729760001</v>
      </c>
      <c r="D13" s="48">
        <f t="shared" si="0"/>
        <v>624675.75486400002</v>
      </c>
      <c r="E13" s="48">
        <f t="shared" si="0"/>
        <v>12120502.598624002</v>
      </c>
      <c r="F13" s="48">
        <f t="shared" si="0"/>
        <v>15170747.426464003</v>
      </c>
      <c r="G13" s="48">
        <f t="shared" si="0"/>
        <v>8973381.673535997</v>
      </c>
      <c r="H13" s="49">
        <f t="shared" si="0"/>
        <v>18545032.933056001</v>
      </c>
      <c r="I13" s="89"/>
      <c r="J13" s="48">
        <f>+J8+J10</f>
        <v>241701.66847088889</v>
      </c>
      <c r="K13" s="48">
        <f>+K8+K10</f>
        <v>2548851.3391040009</v>
      </c>
      <c r="L13" s="48">
        <f>+L8+L10</f>
        <v>6424530.3344319975</v>
      </c>
    </row>
    <row r="14" spans="1:13" ht="17.25" customHeight="1">
      <c r="A14" s="51"/>
      <c r="B14" s="51"/>
    </row>
    <row r="15" spans="1:13" ht="46.5" customHeight="1" thickBot="1">
      <c r="A15" s="44"/>
      <c r="B15" s="44"/>
      <c r="C15" s="52"/>
      <c r="D15" s="52"/>
      <c r="E15" s="52"/>
      <c r="F15" s="52"/>
      <c r="G15" s="30" t="s">
        <v>3</v>
      </c>
      <c r="I15" s="260" t="s">
        <v>48</v>
      </c>
    </row>
    <row r="16" spans="1:13" s="54" customFormat="1" ht="30" customHeight="1" thickBot="1">
      <c r="A16" s="318" t="s">
        <v>49</v>
      </c>
      <c r="B16" s="319"/>
      <c r="C16" s="319"/>
      <c r="D16" s="319"/>
      <c r="E16" s="319"/>
      <c r="F16" s="319"/>
      <c r="G16" s="319"/>
      <c r="H16" s="257"/>
      <c r="I16" s="258">
        <f>(B8-F8)/J8</f>
        <v>37.125857385700137</v>
      </c>
      <c r="J16" s="262"/>
      <c r="K16" s="257"/>
      <c r="L16" s="263"/>
    </row>
    <row r="17" spans="1:9" s="55" customFormat="1" ht="30" customHeight="1" thickBot="1">
      <c r="A17" s="318" t="s">
        <v>50</v>
      </c>
      <c r="B17" s="319"/>
      <c r="C17" s="319"/>
      <c r="D17" s="319"/>
      <c r="E17" s="319"/>
      <c r="F17" s="319"/>
      <c r="G17" s="319"/>
      <c r="H17" s="256"/>
      <c r="I17" s="259">
        <f>(B8-H8-C8-D8)/J8</f>
        <v>10.545443708473988</v>
      </c>
    </row>
    <row r="18" spans="1:9" ht="30" customHeight="1"/>
    <row r="19" spans="1:9" ht="30" customHeight="1"/>
    <row r="20" spans="1:9" ht="30" customHeight="1"/>
    <row r="21" spans="1:9" ht="30" customHeight="1"/>
    <row r="22" spans="1:9" ht="30" customHeight="1"/>
    <row r="23" spans="1:9" ht="30" customHeight="1">
      <c r="A23" s="37"/>
      <c r="B23" s="37"/>
    </row>
    <row r="24" spans="1:9" ht="30" customHeight="1"/>
    <row r="25" spans="1:9" ht="30" customHeight="1">
      <c r="A25" s="56"/>
      <c r="B25" s="56"/>
      <c r="C25" s="56"/>
      <c r="D25" s="57"/>
      <c r="E25" s="57"/>
      <c r="F25" s="57"/>
      <c r="G25" s="56"/>
      <c r="H25" s="57"/>
      <c r="I25" s="56"/>
    </row>
    <row r="26" spans="1:9" ht="30" customHeight="1">
      <c r="A26" s="56"/>
      <c r="B26" s="56"/>
      <c r="C26" s="56"/>
      <c r="D26" s="57"/>
      <c r="E26" s="57"/>
      <c r="F26" s="57"/>
      <c r="G26" s="58"/>
      <c r="H26" s="57"/>
      <c r="I26" s="56"/>
    </row>
    <row r="27" spans="1:9" ht="30" customHeight="1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30" customHeight="1">
      <c r="A28" s="159" t="s">
        <v>3</v>
      </c>
      <c r="B28" s="159"/>
      <c r="C28" s="159"/>
      <c r="D28" s="160"/>
      <c r="E28" s="160"/>
      <c r="F28" s="160"/>
      <c r="G28" s="56"/>
      <c r="H28" s="59"/>
      <c r="I28" s="56"/>
    </row>
    <row r="29" spans="1:9" ht="30" customHeight="1">
      <c r="A29" s="56"/>
      <c r="B29" s="56"/>
      <c r="C29" s="56"/>
      <c r="D29" s="60"/>
      <c r="E29" s="60"/>
      <c r="F29" s="60"/>
      <c r="G29" s="56"/>
      <c r="H29" s="60"/>
      <c r="I29" s="56"/>
    </row>
    <row r="30" spans="1:9" ht="30" customHeight="1">
      <c r="A30" s="56"/>
      <c r="B30" s="56" t="s">
        <v>3</v>
      </c>
      <c r="C30" s="56"/>
      <c r="D30" s="56"/>
      <c r="E30" s="56"/>
      <c r="F30" s="56"/>
      <c r="G30" s="56"/>
      <c r="H30" s="56"/>
      <c r="I30" s="56"/>
    </row>
    <row r="31" spans="1:9" ht="30" customHeight="1">
      <c r="A31" s="56"/>
      <c r="B31" s="56"/>
      <c r="C31" s="56"/>
      <c r="D31" s="61"/>
      <c r="E31" s="61"/>
      <c r="F31" s="61"/>
      <c r="G31" s="62"/>
      <c r="H31" s="63"/>
      <c r="I31" s="64"/>
    </row>
    <row r="32" spans="1:9" ht="30" customHeight="1">
      <c r="A32" s="56"/>
      <c r="B32" s="56"/>
      <c r="C32" s="56"/>
      <c r="D32" s="62"/>
      <c r="E32" s="62"/>
      <c r="F32" s="62"/>
      <c r="G32" s="62"/>
      <c r="H32" s="65"/>
      <c r="I32" s="64"/>
    </row>
    <row r="33" spans="1:9" ht="30" customHeight="1">
      <c r="A33" s="66"/>
      <c r="B33" s="66"/>
      <c r="C33" s="56"/>
      <c r="D33" s="58"/>
      <c r="E33" s="58"/>
      <c r="F33" s="58"/>
      <c r="G33" s="58"/>
      <c r="H33" s="57"/>
      <c r="I33" s="56"/>
    </row>
    <row r="34" spans="1:9" ht="30" customHeight="1">
      <c r="A34" s="66"/>
      <c r="B34" s="66"/>
      <c r="C34" s="56"/>
      <c r="D34" s="58"/>
      <c r="E34" s="58"/>
      <c r="F34" s="58"/>
      <c r="G34" s="58"/>
      <c r="H34" s="57"/>
      <c r="I34" s="56"/>
    </row>
    <row r="35" spans="1:9" ht="30" customHeight="1">
      <c r="A35" s="66"/>
      <c r="B35" s="66"/>
      <c r="C35" s="56"/>
      <c r="D35" s="58"/>
      <c r="E35" s="58"/>
      <c r="F35" s="58"/>
      <c r="G35" s="58"/>
      <c r="H35" s="57"/>
      <c r="I35" s="56"/>
    </row>
    <row r="36" spans="1:9" ht="30" customHeight="1">
      <c r="A36" s="56"/>
      <c r="B36" s="56"/>
      <c r="C36" s="56"/>
      <c r="D36" s="58"/>
      <c r="E36" s="58"/>
      <c r="F36" s="58"/>
      <c r="G36" s="56"/>
      <c r="H36" s="57"/>
      <c r="I36" s="56"/>
    </row>
    <row r="37" spans="1:9" ht="30" customHeight="1"/>
    <row r="38" spans="1:9" ht="30" customHeight="1"/>
    <row r="39" spans="1:9" ht="12.75" customHeight="1"/>
    <row r="40" spans="1:9" ht="12.75" customHeight="1"/>
    <row r="41" spans="1:9" ht="12.75" customHeight="1"/>
  </sheetData>
  <mergeCells count="6">
    <mergeCell ref="A17:G17"/>
    <mergeCell ref="A4:I4"/>
    <mergeCell ref="A3:I3"/>
    <mergeCell ref="A1:I1"/>
    <mergeCell ref="A9:J9"/>
    <mergeCell ref="A16:G16"/>
  </mergeCells>
  <phoneticPr fontId="0" type="noConversion"/>
  <pageMargins left="0.25" right="0" top="0.45" bottom="0.3" header="0.25" footer="0.25"/>
  <pageSetup scale="54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opLeftCell="A2" zoomScaleNormal="100" workbookViewId="0">
      <selection activeCell="B5" sqref="B5"/>
    </sheetView>
  </sheetViews>
  <sheetFormatPr defaultRowHeight="12.75"/>
  <cols>
    <col min="1" max="1" width="27.5703125" customWidth="1"/>
    <col min="2" max="2" width="46" customWidth="1"/>
    <col min="3" max="4" width="15.7109375" style="28" customWidth="1"/>
    <col min="5" max="7" width="15.7109375" customWidth="1"/>
    <col min="8" max="9" width="14" bestFit="1" customWidth="1"/>
    <col min="10" max="10" width="12.28515625" bestFit="1" customWidth="1"/>
  </cols>
  <sheetData>
    <row r="1" spans="1:10" ht="36" customHeight="1" thickBot="1">
      <c r="A1" s="320" t="s">
        <v>210</v>
      </c>
      <c r="B1" s="321"/>
      <c r="C1" s="321"/>
      <c r="D1" s="321"/>
      <c r="E1" s="321"/>
      <c r="F1" s="321"/>
      <c r="G1" s="322"/>
    </row>
    <row r="3" spans="1:10" ht="13.5" thickBot="1">
      <c r="A3" s="267" t="s">
        <v>182</v>
      </c>
      <c r="B3" s="268" t="s">
        <v>183</v>
      </c>
      <c r="C3" s="269" t="s">
        <v>39</v>
      </c>
      <c r="D3" s="270" t="s">
        <v>18</v>
      </c>
      <c r="E3" s="271" t="s">
        <v>1</v>
      </c>
      <c r="F3" s="253" t="s">
        <v>13</v>
      </c>
      <c r="G3" s="1" t="s">
        <v>16</v>
      </c>
    </row>
    <row r="4" spans="1:10" ht="13.5" thickTop="1">
      <c r="A4" s="10" t="s">
        <v>14</v>
      </c>
      <c r="B4" s="13"/>
      <c r="C4" s="24"/>
      <c r="D4" s="23"/>
      <c r="E4" s="12">
        <f>+C4-D4</f>
        <v>0</v>
      </c>
      <c r="F4" s="11">
        <v>0</v>
      </c>
      <c r="G4" s="18"/>
    </row>
    <row r="5" spans="1:10">
      <c r="A5" s="14" t="s">
        <v>15</v>
      </c>
      <c r="B5" s="8"/>
      <c r="C5" s="25">
        <v>0</v>
      </c>
      <c r="D5" s="23"/>
      <c r="E5" s="12">
        <f>+C5-D5</f>
        <v>0</v>
      </c>
      <c r="F5" s="11">
        <v>0</v>
      </c>
      <c r="G5" s="18"/>
    </row>
    <row r="6" spans="1:10">
      <c r="A6" s="14" t="s">
        <v>15</v>
      </c>
      <c r="C6" s="24"/>
      <c r="D6" s="23"/>
      <c r="E6" s="12">
        <f t="shared" ref="E6:E17" si="0">+C6-D6</f>
        <v>0</v>
      </c>
      <c r="F6" s="11">
        <v>0</v>
      </c>
      <c r="G6" s="18"/>
    </row>
    <row r="7" spans="1:10">
      <c r="A7" s="14"/>
      <c r="B7" t="s">
        <v>60</v>
      </c>
      <c r="C7" s="24">
        <v>74000</v>
      </c>
      <c r="D7" s="23">
        <v>74000</v>
      </c>
      <c r="E7" s="12">
        <f t="shared" si="0"/>
        <v>0</v>
      </c>
      <c r="F7" s="11">
        <v>1000</v>
      </c>
      <c r="G7" s="18"/>
    </row>
    <row r="8" spans="1:10">
      <c r="A8" s="104" t="s">
        <v>57</v>
      </c>
      <c r="B8" s="95" t="s">
        <v>66</v>
      </c>
      <c r="C8" s="24">
        <f>343-343</f>
        <v>0</v>
      </c>
      <c r="D8" s="23"/>
      <c r="E8" s="12">
        <f t="shared" si="0"/>
        <v>0</v>
      </c>
      <c r="F8" s="11">
        <v>0</v>
      </c>
      <c r="G8" s="18"/>
    </row>
    <row r="9" spans="1:10">
      <c r="A9" s="15" t="s">
        <v>42</v>
      </c>
      <c r="B9" s="227" t="s">
        <v>179</v>
      </c>
      <c r="C9" s="25">
        <v>4479000</v>
      </c>
      <c r="D9" s="25">
        <v>2912000</v>
      </c>
      <c r="E9" s="12">
        <f t="shared" si="0"/>
        <v>1567000</v>
      </c>
      <c r="F9" s="11">
        <v>50000</v>
      </c>
      <c r="G9" s="18">
        <f t="shared" ref="G9:G14" si="1">E9/F9</f>
        <v>31.34</v>
      </c>
      <c r="H9" s="156"/>
      <c r="I9" s="26" t="s">
        <v>3</v>
      </c>
      <c r="J9" s="156" t="s">
        <v>3</v>
      </c>
    </row>
    <row r="10" spans="1:10">
      <c r="A10" s="15" t="s">
        <v>43</v>
      </c>
      <c r="B10" s="227" t="s">
        <v>180</v>
      </c>
      <c r="C10" s="25">
        <v>7391000</v>
      </c>
      <c r="D10" s="25">
        <v>4455000</v>
      </c>
      <c r="E10" s="12">
        <f>+C10-D10</f>
        <v>2936000</v>
      </c>
      <c r="F10" s="11">
        <v>90000</v>
      </c>
      <c r="G10" s="18">
        <f t="shared" si="1"/>
        <v>32.62222222222222</v>
      </c>
      <c r="I10" s="26" t="s">
        <v>3</v>
      </c>
      <c r="J10" s="156" t="s">
        <v>3</v>
      </c>
    </row>
    <row r="11" spans="1:10">
      <c r="A11" s="15" t="s">
        <v>44</v>
      </c>
      <c r="B11" s="228" t="s">
        <v>40</v>
      </c>
      <c r="C11" s="26">
        <v>1048000</v>
      </c>
      <c r="D11" s="25">
        <v>680000</v>
      </c>
      <c r="E11" s="12">
        <f>+C11-D11</f>
        <v>368000</v>
      </c>
      <c r="F11" s="11">
        <v>10000</v>
      </c>
      <c r="G11" s="18">
        <f t="shared" si="1"/>
        <v>36.799999999999997</v>
      </c>
      <c r="H11" s="156"/>
      <c r="I11" s="26" t="s">
        <v>3</v>
      </c>
      <c r="J11" s="156" t="s">
        <v>3</v>
      </c>
    </row>
    <row r="12" spans="1:10">
      <c r="A12" s="15" t="s">
        <v>45</v>
      </c>
      <c r="B12" s="227" t="s">
        <v>181</v>
      </c>
      <c r="C12" s="26">
        <v>494000</v>
      </c>
      <c r="D12" s="25">
        <v>292000</v>
      </c>
      <c r="E12" s="12">
        <f t="shared" si="0"/>
        <v>202000</v>
      </c>
      <c r="F12" s="11">
        <v>6000</v>
      </c>
      <c r="G12" s="18">
        <f t="shared" si="1"/>
        <v>33.666666666666664</v>
      </c>
      <c r="H12" s="156"/>
      <c r="I12" s="26" t="s">
        <v>3</v>
      </c>
      <c r="J12" s="156" t="s">
        <v>3</v>
      </c>
    </row>
    <row r="13" spans="1:10">
      <c r="A13" s="15" t="s">
        <v>106</v>
      </c>
      <c r="B13" s="229" t="s">
        <v>41</v>
      </c>
      <c r="C13" s="26">
        <v>888420.1</v>
      </c>
      <c r="D13" s="26">
        <f>588645+(10000*7)</f>
        <v>658645</v>
      </c>
      <c r="E13" s="175">
        <f t="shared" si="0"/>
        <v>229775.09999999998</v>
      </c>
      <c r="F13" s="171">
        <v>10000</v>
      </c>
      <c r="G13" s="18">
        <f t="shared" si="1"/>
        <v>22.977509999999999</v>
      </c>
      <c r="H13" s="156"/>
    </row>
    <row r="14" spans="1:10">
      <c r="A14" s="15" t="s">
        <v>107</v>
      </c>
      <c r="B14" s="230" t="s">
        <v>102</v>
      </c>
      <c r="C14" s="26">
        <v>594000</v>
      </c>
      <c r="D14" s="25">
        <f>468515.05+(6000*2)</f>
        <v>480515.05</v>
      </c>
      <c r="E14" s="12">
        <f t="shared" si="0"/>
        <v>113484.95000000001</v>
      </c>
      <c r="F14" s="11">
        <v>6000</v>
      </c>
      <c r="G14" s="18">
        <f t="shared" si="1"/>
        <v>18.914158333333337</v>
      </c>
      <c r="H14" s="156"/>
      <c r="I14" s="156" t="s">
        <v>3</v>
      </c>
      <c r="J14" s="156" t="s">
        <v>3</v>
      </c>
    </row>
    <row r="15" spans="1:10">
      <c r="A15" s="70" t="s">
        <v>105</v>
      </c>
      <c r="B15" s="231" t="s">
        <v>97</v>
      </c>
      <c r="C15" s="71">
        <v>205000</v>
      </c>
      <c r="D15" s="26">
        <f>115635+(2100*7)</f>
        <v>130335</v>
      </c>
      <c r="E15" s="176">
        <f>+C15-D15</f>
        <v>74665</v>
      </c>
      <c r="F15" s="171">
        <v>2100</v>
      </c>
      <c r="G15" s="18">
        <f>E15/F15</f>
        <v>35.554761904761904</v>
      </c>
      <c r="H15" s="156"/>
      <c r="I15" s="156"/>
      <c r="J15" s="156"/>
    </row>
    <row r="16" spans="1:10">
      <c r="A16" s="15"/>
      <c r="B16" s="9" t="s">
        <v>72</v>
      </c>
      <c r="C16" s="26">
        <v>120990</v>
      </c>
      <c r="D16" s="178">
        <v>0</v>
      </c>
      <c r="E16" s="12">
        <f>+C16-D16</f>
        <v>120990</v>
      </c>
      <c r="F16" s="11"/>
      <c r="G16" s="18"/>
      <c r="H16" s="156"/>
      <c r="I16" s="156"/>
      <c r="J16" s="156"/>
    </row>
    <row r="17" spans="1:8">
      <c r="A17" s="29" t="s">
        <v>23</v>
      </c>
      <c r="B17" s="8" t="s">
        <v>24</v>
      </c>
      <c r="C17" s="26">
        <v>0</v>
      </c>
      <c r="D17" s="178">
        <v>0</v>
      </c>
      <c r="E17" s="12">
        <f t="shared" si="0"/>
        <v>0</v>
      </c>
      <c r="F17" s="11">
        <v>0</v>
      </c>
      <c r="G17" s="18"/>
      <c r="H17" s="156"/>
    </row>
    <row r="18" spans="1:8">
      <c r="A18" s="29" t="s">
        <v>73</v>
      </c>
      <c r="B18" s="177" t="s">
        <v>25</v>
      </c>
      <c r="C18" s="26">
        <v>18639.54</v>
      </c>
      <c r="D18" s="25">
        <v>10466.68</v>
      </c>
      <c r="E18" s="12">
        <f>+C18-D18</f>
        <v>8172.8600000000006</v>
      </c>
      <c r="F18" s="11">
        <v>0</v>
      </c>
      <c r="G18" s="18"/>
      <c r="H18" s="156"/>
    </row>
    <row r="19" spans="1:8">
      <c r="A19" s="29" t="s">
        <v>74</v>
      </c>
      <c r="B19" s="9" t="s">
        <v>27</v>
      </c>
      <c r="C19" s="26">
        <v>15000</v>
      </c>
      <c r="D19" s="178">
        <v>0</v>
      </c>
      <c r="E19" s="12">
        <f>+C19-D19</f>
        <v>15000</v>
      </c>
      <c r="F19" s="11"/>
      <c r="G19" s="18"/>
      <c r="H19" s="156"/>
    </row>
    <row r="20" spans="1:8">
      <c r="A20" s="70" t="s">
        <v>52</v>
      </c>
      <c r="B20" s="69" t="s">
        <v>51</v>
      </c>
      <c r="C20" s="71">
        <v>357.04</v>
      </c>
      <c r="D20" s="25">
        <v>357.04</v>
      </c>
      <c r="E20" s="12">
        <f t="shared" ref="E20:E29" si="2">+C20-D20</f>
        <v>0</v>
      </c>
      <c r="F20" s="11">
        <v>0</v>
      </c>
      <c r="G20" s="19"/>
      <c r="H20" s="156"/>
    </row>
    <row r="21" spans="1:8">
      <c r="A21" s="70" t="s">
        <v>57</v>
      </c>
      <c r="B21" s="69" t="s">
        <v>63</v>
      </c>
      <c r="C21" s="71">
        <v>120.5</v>
      </c>
      <c r="D21" s="25">
        <v>120.5</v>
      </c>
      <c r="E21" s="12">
        <f t="shared" si="2"/>
        <v>0</v>
      </c>
      <c r="F21" s="11"/>
      <c r="G21" s="19"/>
      <c r="H21" s="156"/>
    </row>
    <row r="22" spans="1:8">
      <c r="A22" s="70" t="s">
        <v>61</v>
      </c>
      <c r="B22" s="69" t="s">
        <v>64</v>
      </c>
      <c r="C22" s="71">
        <f>8000+8000</f>
        <v>16000</v>
      </c>
      <c r="D22" s="25">
        <v>13144.89</v>
      </c>
      <c r="E22" s="12">
        <f t="shared" si="2"/>
        <v>2855.1100000000006</v>
      </c>
      <c r="F22" s="11"/>
      <c r="G22" s="19" t="s">
        <v>3</v>
      </c>
      <c r="H22" s="156"/>
    </row>
    <row r="23" spans="1:8">
      <c r="A23" s="70" t="s">
        <v>62</v>
      </c>
      <c r="B23" s="69" t="s">
        <v>65</v>
      </c>
      <c r="C23" s="71">
        <v>169.08</v>
      </c>
      <c r="D23" s="25">
        <v>169.08</v>
      </c>
      <c r="E23" s="12">
        <f t="shared" si="2"/>
        <v>0</v>
      </c>
      <c r="F23" s="11"/>
      <c r="G23" s="19"/>
      <c r="H23" s="156"/>
    </row>
    <row r="24" spans="1:8">
      <c r="A24" s="70" t="s">
        <v>68</v>
      </c>
      <c r="B24" s="69" t="s">
        <v>69</v>
      </c>
      <c r="C24" s="71">
        <f>8000+7333.47</f>
        <v>15333.470000000001</v>
      </c>
      <c r="D24" s="25">
        <v>7333.47</v>
      </c>
      <c r="E24" s="12">
        <f t="shared" si="2"/>
        <v>8000.0000000000009</v>
      </c>
      <c r="F24" s="11"/>
      <c r="G24" s="19"/>
      <c r="H24" s="156"/>
    </row>
    <row r="25" spans="1:8">
      <c r="A25" s="70" t="s">
        <v>70</v>
      </c>
      <c r="B25" s="69" t="s">
        <v>71</v>
      </c>
      <c r="C25" s="71">
        <v>3785.11</v>
      </c>
      <c r="D25" s="25">
        <v>3783.57</v>
      </c>
      <c r="E25" s="12">
        <v>0</v>
      </c>
      <c r="F25" s="11"/>
      <c r="G25" s="19"/>
      <c r="H25" s="156"/>
    </row>
    <row r="26" spans="1:8">
      <c r="A26" s="70" t="s">
        <v>67</v>
      </c>
      <c r="B26" s="69" t="s">
        <v>104</v>
      </c>
      <c r="C26" s="161">
        <v>35000</v>
      </c>
      <c r="D26" s="179">
        <v>35000</v>
      </c>
      <c r="E26" s="12">
        <f>+C26-D26</f>
        <v>0</v>
      </c>
      <c r="F26" s="11">
        <v>533</v>
      </c>
      <c r="G26" s="19"/>
      <c r="H26" s="156"/>
    </row>
    <row r="27" spans="1:8">
      <c r="A27" s="70" t="s">
        <v>75</v>
      </c>
      <c r="B27" s="69" t="s">
        <v>77</v>
      </c>
      <c r="C27" s="71">
        <v>230.48</v>
      </c>
      <c r="D27" s="25">
        <v>230.48</v>
      </c>
      <c r="E27" s="12">
        <f>+C27-D27</f>
        <v>0</v>
      </c>
      <c r="F27" s="11"/>
      <c r="G27" s="19"/>
      <c r="H27" s="156"/>
    </row>
    <row r="28" spans="1:8">
      <c r="A28" s="70" t="s">
        <v>76</v>
      </c>
      <c r="B28" s="69" t="s">
        <v>78</v>
      </c>
      <c r="C28" s="71">
        <v>109.25</v>
      </c>
      <c r="D28" s="25">
        <v>109.25</v>
      </c>
      <c r="E28" s="12">
        <f>+C28-D28</f>
        <v>0</v>
      </c>
      <c r="F28" s="11"/>
      <c r="G28" s="19"/>
      <c r="H28" s="156"/>
    </row>
    <row r="29" spans="1:8">
      <c r="A29" s="70" t="s">
        <v>79</v>
      </c>
      <c r="B29" s="69" t="s">
        <v>108</v>
      </c>
      <c r="C29" s="161">
        <v>557.84</v>
      </c>
      <c r="D29" s="162">
        <v>557.84</v>
      </c>
      <c r="E29" s="12">
        <f t="shared" si="2"/>
        <v>0</v>
      </c>
      <c r="F29" s="11"/>
      <c r="G29" s="19"/>
      <c r="H29" s="156"/>
    </row>
    <row r="30" spans="1:8">
      <c r="A30" s="70" t="s">
        <v>80</v>
      </c>
      <c r="B30" s="69" t="s">
        <v>83</v>
      </c>
      <c r="C30" s="161">
        <v>70.56</v>
      </c>
      <c r="D30" s="162">
        <v>70.56</v>
      </c>
      <c r="E30" s="12">
        <f t="shared" ref="E30:E43" si="3">+C30-D30</f>
        <v>0</v>
      </c>
      <c r="F30" s="11"/>
      <c r="G30" s="19"/>
      <c r="H30" s="156"/>
    </row>
    <row r="31" spans="1:8">
      <c r="A31" s="70" t="s">
        <v>81</v>
      </c>
      <c r="B31" s="69" t="s">
        <v>82</v>
      </c>
      <c r="C31" s="161">
        <v>15000</v>
      </c>
      <c r="D31" s="178">
        <v>0</v>
      </c>
      <c r="E31" s="12">
        <f t="shared" si="3"/>
        <v>15000</v>
      </c>
      <c r="F31" s="11"/>
      <c r="G31" s="19"/>
      <c r="H31" s="156"/>
    </row>
    <row r="32" spans="1:8">
      <c r="A32" s="70" t="s">
        <v>84</v>
      </c>
      <c r="B32" s="69" t="s">
        <v>63</v>
      </c>
      <c r="C32" s="161">
        <v>243</v>
      </c>
      <c r="D32" s="162">
        <v>243</v>
      </c>
      <c r="E32" s="12">
        <f t="shared" si="3"/>
        <v>0</v>
      </c>
      <c r="F32" s="11"/>
      <c r="G32" s="19"/>
      <c r="H32" s="156"/>
    </row>
    <row r="33" spans="1:8">
      <c r="A33" s="70" t="s">
        <v>87</v>
      </c>
      <c r="B33" s="69" t="s">
        <v>100</v>
      </c>
      <c r="C33" s="161">
        <v>250000</v>
      </c>
      <c r="D33" s="179">
        <v>250000</v>
      </c>
      <c r="E33" s="12">
        <f t="shared" si="3"/>
        <v>0</v>
      </c>
      <c r="F33" s="11">
        <v>1333</v>
      </c>
      <c r="G33" s="19"/>
      <c r="H33" s="156"/>
    </row>
    <row r="34" spans="1:8">
      <c r="A34" s="70" t="s">
        <v>86</v>
      </c>
      <c r="B34" s="69" t="s">
        <v>85</v>
      </c>
      <c r="C34" s="161">
        <v>10000</v>
      </c>
      <c r="D34" s="162">
        <v>10000</v>
      </c>
      <c r="E34" s="12">
        <f t="shared" si="3"/>
        <v>0</v>
      </c>
      <c r="F34" s="11"/>
      <c r="G34" s="19"/>
      <c r="H34" s="156"/>
    </row>
    <row r="35" spans="1:8">
      <c r="A35" s="70" t="s">
        <v>88</v>
      </c>
      <c r="B35" s="69" t="s">
        <v>91</v>
      </c>
      <c r="C35" s="161">
        <v>382.5</v>
      </c>
      <c r="D35" s="162">
        <v>382.5</v>
      </c>
      <c r="E35" s="12">
        <f t="shared" si="3"/>
        <v>0</v>
      </c>
      <c r="F35" s="11"/>
      <c r="G35" s="19"/>
      <c r="H35" s="156"/>
    </row>
    <row r="36" spans="1:8">
      <c r="A36" s="70" t="s">
        <v>89</v>
      </c>
      <c r="B36" s="69" t="s">
        <v>92</v>
      </c>
      <c r="C36" s="161">
        <v>110</v>
      </c>
      <c r="D36" s="162">
        <v>59.94</v>
      </c>
      <c r="E36" s="12">
        <f t="shared" si="3"/>
        <v>50.06</v>
      </c>
      <c r="F36" s="11"/>
      <c r="G36" s="19"/>
    </row>
    <row r="37" spans="1:8">
      <c r="A37" s="70" t="s">
        <v>90</v>
      </c>
      <c r="B37" s="69" t="s">
        <v>93</v>
      </c>
      <c r="C37" s="161">
        <v>144.06</v>
      </c>
      <c r="D37" s="162">
        <v>144.06</v>
      </c>
      <c r="E37" s="12">
        <f t="shared" si="3"/>
        <v>0</v>
      </c>
      <c r="F37" s="11"/>
      <c r="G37" s="19"/>
      <c r="H37" s="156"/>
    </row>
    <row r="38" spans="1:8">
      <c r="A38" s="70" t="s">
        <v>94</v>
      </c>
      <c r="B38" s="69" t="s">
        <v>101</v>
      </c>
      <c r="C38" s="161">
        <v>50000</v>
      </c>
      <c r="D38" s="179">
        <v>50000</v>
      </c>
      <c r="E38" s="12">
        <f t="shared" si="3"/>
        <v>0</v>
      </c>
      <c r="F38" s="11">
        <v>278</v>
      </c>
      <c r="G38" s="19"/>
    </row>
    <row r="39" spans="1:8">
      <c r="A39" s="70" t="s">
        <v>98</v>
      </c>
      <c r="B39" s="69" t="s">
        <v>99</v>
      </c>
      <c r="C39" s="161">
        <v>16075.44</v>
      </c>
      <c r="D39" s="178">
        <v>0</v>
      </c>
      <c r="E39" s="12">
        <f t="shared" si="3"/>
        <v>16075.44</v>
      </c>
      <c r="F39" s="11"/>
      <c r="G39" s="19"/>
    </row>
    <row r="40" spans="1:8">
      <c r="A40" s="70" t="s">
        <v>112</v>
      </c>
      <c r="B40" s="69" t="s">
        <v>103</v>
      </c>
      <c r="C40" s="161">
        <v>100</v>
      </c>
      <c r="D40" s="178">
        <v>0</v>
      </c>
      <c r="E40" s="12">
        <f t="shared" si="3"/>
        <v>100</v>
      </c>
      <c r="F40" s="11"/>
      <c r="G40" s="19"/>
    </row>
    <row r="41" spans="1:8">
      <c r="A41" s="70" t="s">
        <v>113</v>
      </c>
      <c r="B41" s="69" t="s">
        <v>115</v>
      </c>
      <c r="C41" s="161">
        <v>1045.83</v>
      </c>
      <c r="D41" s="178">
        <v>0</v>
      </c>
      <c r="E41" s="12">
        <f t="shared" si="3"/>
        <v>1045.83</v>
      </c>
      <c r="F41" s="11"/>
      <c r="G41" s="19"/>
    </row>
    <row r="42" spans="1:8">
      <c r="A42" s="70" t="s">
        <v>114</v>
      </c>
      <c r="B42" s="69" t="s">
        <v>116</v>
      </c>
      <c r="C42" s="161">
        <v>1240.08</v>
      </c>
      <c r="D42" s="161">
        <v>62.11</v>
      </c>
      <c r="E42" s="12">
        <f t="shared" si="3"/>
        <v>1177.97</v>
      </c>
      <c r="F42" s="11"/>
      <c r="G42" s="19"/>
    </row>
    <row r="43" spans="1:8">
      <c r="A43" s="70" t="s">
        <v>109</v>
      </c>
      <c r="B43" s="69" t="s">
        <v>110</v>
      </c>
      <c r="C43" s="161">
        <v>400000</v>
      </c>
      <c r="D43" s="161">
        <v>400000</v>
      </c>
      <c r="E43" s="12">
        <f t="shared" si="3"/>
        <v>0</v>
      </c>
      <c r="F43" s="11"/>
      <c r="G43" s="19"/>
    </row>
    <row r="44" spans="1:8">
      <c r="A44" s="70" t="s">
        <v>109</v>
      </c>
      <c r="B44" s="69" t="s">
        <v>111</v>
      </c>
      <c r="C44" s="161">
        <v>250000</v>
      </c>
      <c r="D44" s="161">
        <v>250000</v>
      </c>
      <c r="E44" s="12"/>
      <c r="F44" s="11"/>
      <c r="G44" s="19"/>
    </row>
    <row r="45" spans="1:8">
      <c r="A45" s="70"/>
      <c r="B45" s="69"/>
      <c r="C45" s="154"/>
      <c r="D45" s="155"/>
      <c r="E45" s="12"/>
      <c r="F45" s="11"/>
      <c r="G45" s="19"/>
    </row>
    <row r="46" spans="1:8" ht="40.5" customHeight="1" thickBot="1">
      <c r="A46" s="16" t="s">
        <v>12</v>
      </c>
      <c r="C46" s="264">
        <f>SUM(C4:C45)</f>
        <v>16394123.879999999</v>
      </c>
      <c r="D46" s="27">
        <f>SUM(D5:D45)</f>
        <v>10714730.020000001</v>
      </c>
      <c r="E46" s="17">
        <f>+C46-D46</f>
        <v>5679393.8599999975</v>
      </c>
      <c r="F46" s="265">
        <f>SUM(F4:F45)</f>
        <v>177244</v>
      </c>
      <c r="G46" s="18"/>
    </row>
    <row r="47" spans="1:8" ht="13.5" thickTop="1">
      <c r="C47" s="28" t="s">
        <v>3</v>
      </c>
    </row>
    <row r="48" spans="1:8">
      <c r="C48" s="28" t="s">
        <v>3</v>
      </c>
    </row>
    <row r="50" spans="1:2">
      <c r="B50" t="s">
        <v>95</v>
      </c>
    </row>
    <row r="51" spans="1:2" ht="13.5" customHeight="1">
      <c r="B51" s="6" t="s">
        <v>96</v>
      </c>
    </row>
    <row r="52" spans="1:2" ht="13.5" customHeight="1">
      <c r="A52" s="180"/>
    </row>
    <row r="53" spans="1:2">
      <c r="A53" s="180"/>
    </row>
  </sheetData>
  <mergeCells count="1">
    <mergeCell ref="A1:G1"/>
  </mergeCells>
  <phoneticPr fontId="18" type="noConversion"/>
  <pageMargins left="0.75" right="0.75" top="1" bottom="1" header="0.5" footer="0.5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Normal="100" workbookViewId="0">
      <selection activeCell="N19" sqref="N19"/>
    </sheetView>
  </sheetViews>
  <sheetFormatPr defaultRowHeight="12.75"/>
  <cols>
    <col min="1" max="1" width="44.140625" customWidth="1"/>
    <col min="2" max="2" width="8.28515625" bestFit="1" customWidth="1"/>
    <col min="3" max="3" width="10.5703125" customWidth="1"/>
    <col min="4" max="4" width="9.85546875" bestFit="1" customWidth="1"/>
    <col min="5" max="5" width="7.85546875" customWidth="1"/>
    <col min="6" max="6" width="8.140625" customWidth="1"/>
    <col min="7" max="7" width="4.7109375" customWidth="1"/>
    <col min="8" max="8" width="23.28515625" bestFit="1" customWidth="1"/>
    <col min="9" max="9" width="6.85546875" customWidth="1"/>
    <col min="10" max="10" width="10.42578125" bestFit="1" customWidth="1"/>
    <col min="11" max="11" width="5" bestFit="1" customWidth="1"/>
    <col min="12" max="12" width="6.5703125" bestFit="1" customWidth="1"/>
    <col min="14" max="14" width="10.5703125" customWidth="1"/>
    <col min="15" max="15" width="12.7109375" bestFit="1" customWidth="1"/>
    <col min="16" max="16" width="11.7109375" customWidth="1"/>
  </cols>
  <sheetData>
    <row r="1" spans="1:16">
      <c r="A1" s="68" t="s">
        <v>187</v>
      </c>
      <c r="B1" t="s">
        <v>223</v>
      </c>
    </row>
    <row r="2" spans="1:16" ht="13.5" thickBot="1"/>
    <row r="3" spans="1:16">
      <c r="A3" s="274"/>
      <c r="B3" s="276"/>
      <c r="C3" s="305" t="s">
        <v>225</v>
      </c>
      <c r="D3" s="276"/>
      <c r="E3" s="276"/>
      <c r="F3" s="276"/>
      <c r="G3" s="276"/>
      <c r="H3" s="306" t="s">
        <v>222</v>
      </c>
      <c r="I3" s="276"/>
      <c r="J3" s="276"/>
      <c r="K3" s="276"/>
      <c r="L3" s="276"/>
      <c r="M3" s="276"/>
      <c r="N3" s="276"/>
      <c r="O3" s="276"/>
      <c r="P3" s="277"/>
    </row>
    <row r="4" spans="1:16" ht="13.5" thickBot="1">
      <c r="A4" s="280" t="s">
        <v>224</v>
      </c>
      <c r="B4" s="8"/>
      <c r="C4" s="8"/>
      <c r="D4" s="8"/>
      <c r="E4" s="8"/>
      <c r="F4" s="8"/>
      <c r="G4" s="8"/>
      <c r="H4" s="8"/>
      <c r="I4" s="8"/>
      <c r="J4" s="290" t="s">
        <v>196</v>
      </c>
      <c r="K4" s="8"/>
      <c r="L4" s="8"/>
      <c r="M4" s="8"/>
      <c r="N4" s="8"/>
      <c r="O4" s="8"/>
      <c r="P4" s="279"/>
    </row>
    <row r="5" spans="1:16" ht="40.5" customHeight="1">
      <c r="A5" s="291"/>
      <c r="B5" s="21"/>
      <c r="C5" s="246" t="s">
        <v>200</v>
      </c>
      <c r="D5" s="21"/>
      <c r="E5" s="21"/>
      <c r="F5" s="292"/>
      <c r="G5" s="292"/>
      <c r="H5" s="251" t="s">
        <v>201</v>
      </c>
      <c r="I5" s="293"/>
      <c r="J5" s="241" t="s">
        <v>216</v>
      </c>
      <c r="K5" s="232" t="s">
        <v>190</v>
      </c>
      <c r="L5" s="232" t="s">
        <v>191</v>
      </c>
      <c r="M5" s="233" t="s">
        <v>226</v>
      </c>
      <c r="N5" s="232" t="s">
        <v>213</v>
      </c>
      <c r="O5" s="234" t="s">
        <v>193</v>
      </c>
      <c r="P5" s="294" t="s">
        <v>2</v>
      </c>
    </row>
    <row r="6" spans="1:16">
      <c r="A6" s="295"/>
      <c r="B6" s="2"/>
      <c r="C6" s="247" t="s">
        <v>3</v>
      </c>
      <c r="D6" s="2"/>
      <c r="E6" s="3"/>
      <c r="F6" s="8"/>
      <c r="G6" s="8"/>
      <c r="H6" s="248"/>
      <c r="I6" s="8"/>
      <c r="J6" s="235"/>
      <c r="K6" s="236"/>
      <c r="L6" s="236" t="s">
        <v>3</v>
      </c>
      <c r="M6" s="237" t="s">
        <v>3</v>
      </c>
      <c r="N6" s="236" t="s">
        <v>3</v>
      </c>
      <c r="O6" s="192"/>
      <c r="P6" s="296"/>
    </row>
    <row r="7" spans="1:16" ht="13.5" thickBot="1">
      <c r="A7" s="297"/>
      <c r="B7" s="8"/>
      <c r="C7" s="273"/>
      <c r="D7" s="8"/>
      <c r="E7" s="8"/>
      <c r="F7" s="8"/>
      <c r="G7" s="8"/>
      <c r="H7" s="252"/>
      <c r="I7" s="8"/>
      <c r="J7" s="238" t="s">
        <v>194</v>
      </c>
      <c r="K7" s="237">
        <v>38</v>
      </c>
      <c r="L7" s="334">
        <v>65.8</v>
      </c>
      <c r="M7" s="237">
        <v>11.5</v>
      </c>
      <c r="N7" s="239">
        <f>+K7*L7*M7</f>
        <v>28754.600000000002</v>
      </c>
      <c r="O7" s="335">
        <f>(+C8*6)+1942962.03</f>
        <v>2115489.63</v>
      </c>
      <c r="P7" s="298">
        <f>+N7+O7</f>
        <v>2144244.23</v>
      </c>
    </row>
    <row r="8" spans="1:16" ht="16.5" thickBot="1">
      <c r="A8" s="299"/>
      <c r="B8" s="8"/>
      <c r="C8" s="249">
        <f>N7</f>
        <v>28754.600000000002</v>
      </c>
      <c r="D8" s="8"/>
      <c r="E8" s="8"/>
      <c r="F8" s="8"/>
      <c r="G8" s="8"/>
      <c r="H8" s="249">
        <f>(+C8*7)+1942962.03</f>
        <v>2144244.23</v>
      </c>
      <c r="I8" s="8"/>
      <c r="J8" s="8"/>
      <c r="K8" s="8" t="s">
        <v>3</v>
      </c>
      <c r="L8" s="8"/>
      <c r="M8" s="8"/>
      <c r="N8" s="8"/>
      <c r="O8" s="8"/>
      <c r="P8" s="279"/>
    </row>
    <row r="9" spans="1:16" ht="15.75">
      <c r="A9" s="280" t="s">
        <v>211</v>
      </c>
      <c r="B9" s="8"/>
      <c r="C9" s="254"/>
      <c r="D9" s="8"/>
      <c r="E9" s="8"/>
      <c r="F9" s="8"/>
      <c r="G9" s="8"/>
      <c r="H9" s="254"/>
      <c r="I9" s="8"/>
      <c r="J9" s="8"/>
      <c r="K9" s="8"/>
      <c r="L9" s="8"/>
      <c r="M9" s="8"/>
      <c r="N9" s="8"/>
      <c r="O9" s="8"/>
      <c r="P9" s="279"/>
    </row>
    <row r="10" spans="1:16">
      <c r="A10" s="282" t="s">
        <v>215</v>
      </c>
      <c r="B10" s="300"/>
      <c r="C10" s="300"/>
      <c r="D10" s="300"/>
      <c r="E10" s="300"/>
      <c r="F10" s="300"/>
      <c r="G10" s="300"/>
      <c r="H10" s="300"/>
      <c r="I10" s="9"/>
      <c r="J10" s="9"/>
      <c r="K10" s="8"/>
      <c r="L10" s="8"/>
      <c r="M10" s="8"/>
      <c r="N10" s="8"/>
      <c r="O10" s="8"/>
      <c r="P10" s="279"/>
    </row>
    <row r="11" spans="1:16">
      <c r="A11" s="282" t="s">
        <v>214</v>
      </c>
      <c r="B11" s="300"/>
      <c r="C11" s="300"/>
      <c r="D11" s="300"/>
      <c r="E11" s="300"/>
      <c r="F11" s="300"/>
      <c r="G11" s="301" t="s">
        <v>212</v>
      </c>
      <c r="H11" s="8"/>
      <c r="I11" s="8"/>
      <c r="J11" s="9"/>
      <c r="K11" s="8"/>
      <c r="L11" s="8"/>
      <c r="M11" s="8"/>
      <c r="N11" s="8"/>
      <c r="O11" s="8"/>
      <c r="P11" s="279"/>
    </row>
    <row r="12" spans="1:16">
      <c r="A12" s="282" t="s">
        <v>202</v>
      </c>
      <c r="B12" s="300"/>
      <c r="C12" s="300"/>
      <c r="D12" s="302" t="s">
        <v>203</v>
      </c>
      <c r="E12" s="8"/>
      <c r="F12" s="300"/>
      <c r="G12" s="9"/>
      <c r="H12" s="300"/>
      <c r="I12" s="9"/>
      <c r="J12" s="9"/>
      <c r="K12" s="8"/>
      <c r="L12" s="8"/>
      <c r="M12" s="8"/>
      <c r="N12" s="8"/>
      <c r="O12" s="8"/>
      <c r="P12" s="279"/>
    </row>
    <row r="13" spans="1:16" ht="34.5" customHeight="1" thickBot="1">
      <c r="A13" s="323" t="s">
        <v>218</v>
      </c>
      <c r="B13" s="324"/>
      <c r="C13" s="324"/>
      <c r="D13" s="324"/>
      <c r="E13" s="324"/>
      <c r="F13" s="324"/>
      <c r="G13" s="324"/>
      <c r="H13" s="324"/>
      <c r="I13" s="303" t="s">
        <v>3</v>
      </c>
      <c r="J13" s="304"/>
      <c r="K13" s="286"/>
      <c r="L13" s="286"/>
      <c r="M13" s="286"/>
      <c r="N13" s="286"/>
      <c r="O13" s="286"/>
      <c r="P13" s="289"/>
    </row>
    <row r="14" spans="1:16">
      <c r="A14" s="274"/>
      <c r="B14" s="275"/>
      <c r="C14" s="275"/>
      <c r="D14" s="275"/>
      <c r="E14" s="275"/>
      <c r="F14" s="275"/>
      <c r="G14" s="275"/>
      <c r="H14" s="275"/>
      <c r="I14" s="276"/>
      <c r="J14" s="276"/>
      <c r="K14" s="276"/>
      <c r="L14" s="276"/>
      <c r="M14" s="276"/>
      <c r="N14" s="276"/>
      <c r="O14" s="276"/>
      <c r="P14" s="277"/>
    </row>
    <row r="15" spans="1:16">
      <c r="A15" s="27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79"/>
    </row>
    <row r="16" spans="1:16">
      <c r="A16" s="280"/>
      <c r="B16" s="8"/>
      <c r="C16" s="281" t="s">
        <v>219</v>
      </c>
      <c r="D16" s="8"/>
      <c r="E16" s="8"/>
      <c r="F16" s="8"/>
      <c r="G16" s="8"/>
      <c r="H16" s="307" t="s">
        <v>220</v>
      </c>
      <c r="I16" s="8"/>
      <c r="J16" s="8"/>
      <c r="K16" s="8"/>
      <c r="L16" s="8"/>
      <c r="M16" s="8"/>
      <c r="N16" s="8"/>
      <c r="O16" s="8"/>
      <c r="P16" s="279"/>
    </row>
    <row r="17" spans="1:16" ht="13.5" thickBot="1">
      <c r="A17" s="280" t="s">
        <v>4</v>
      </c>
      <c r="B17" s="8"/>
      <c r="C17" s="28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79"/>
    </row>
    <row r="18" spans="1:16" ht="37.5" thickBot="1">
      <c r="A18" s="280"/>
      <c r="B18" s="8"/>
      <c r="C18" s="250">
        <f>+H18/72</f>
        <v>7669.7773611111106</v>
      </c>
      <c r="D18" s="8" t="s">
        <v>3</v>
      </c>
      <c r="E18" s="8"/>
      <c r="F18" s="8"/>
      <c r="G18" s="8"/>
      <c r="H18" s="272">
        <v>552223.97</v>
      </c>
      <c r="I18" s="8"/>
      <c r="J18" s="241" t="s">
        <v>221</v>
      </c>
      <c r="K18" s="232" t="s">
        <v>190</v>
      </c>
      <c r="L18" s="232" t="s">
        <v>29</v>
      </c>
      <c r="M18" s="232" t="s">
        <v>192</v>
      </c>
      <c r="N18" s="234" t="s">
        <v>193</v>
      </c>
      <c r="O18" s="234" t="s">
        <v>2</v>
      </c>
      <c r="P18" s="279"/>
    </row>
    <row r="19" spans="1:16" ht="24">
      <c r="A19" s="282" t="s">
        <v>217</v>
      </c>
      <c r="B19" s="8"/>
      <c r="C19" s="20"/>
      <c r="D19" s="8"/>
      <c r="E19" s="8"/>
      <c r="F19" s="8"/>
      <c r="G19" s="8"/>
      <c r="H19" s="5"/>
      <c r="I19" s="8"/>
      <c r="J19" s="242" t="s">
        <v>195</v>
      </c>
      <c r="K19" s="243">
        <v>38</v>
      </c>
      <c r="L19" s="240">
        <v>202</v>
      </c>
      <c r="M19" s="244">
        <f>+K19*L19</f>
        <v>7676</v>
      </c>
      <c r="N19" s="244">
        <v>26246</v>
      </c>
      <c r="O19" s="245">
        <f>+M19+N19</f>
        <v>33922</v>
      </c>
      <c r="P19" s="279"/>
    </row>
    <row r="20" spans="1:16">
      <c r="A20" s="280" t="s">
        <v>188</v>
      </c>
      <c r="B20" s="8"/>
      <c r="C20" s="20"/>
      <c r="D20" s="8"/>
      <c r="E20" s="8"/>
      <c r="F20" s="8"/>
      <c r="G20" s="8"/>
      <c r="H20" s="5"/>
      <c r="I20" s="8"/>
      <c r="J20" s="283"/>
      <c r="K20" s="8"/>
      <c r="L20" s="8"/>
      <c r="M20" s="8"/>
      <c r="N20" s="8"/>
      <c r="O20" s="8"/>
      <c r="P20" s="279"/>
    </row>
    <row r="21" spans="1:16">
      <c r="A21" s="280" t="s">
        <v>189</v>
      </c>
      <c r="B21" s="8"/>
      <c r="C21" s="20"/>
      <c r="D21" s="8"/>
      <c r="E21" s="8"/>
      <c r="F21" s="8"/>
      <c r="G21" s="8"/>
      <c r="H21" s="5"/>
      <c r="I21" s="8"/>
      <c r="J21" s="8"/>
      <c r="K21" s="8"/>
      <c r="L21" s="8"/>
      <c r="M21" s="8"/>
      <c r="N21" s="8"/>
      <c r="O21" s="8"/>
      <c r="P21" s="279"/>
    </row>
    <row r="22" spans="1:16" ht="15.75" thickBot="1">
      <c r="A22" s="284"/>
      <c r="B22" s="285"/>
      <c r="C22" s="285"/>
      <c r="D22" s="285"/>
      <c r="E22" s="285"/>
      <c r="F22" s="286"/>
      <c r="G22" s="287"/>
      <c r="H22" s="286"/>
      <c r="I22" s="287"/>
      <c r="J22" s="288"/>
      <c r="K22" s="288"/>
      <c r="L22" s="288"/>
      <c r="M22" s="288"/>
      <c r="N22" s="288"/>
      <c r="O22" s="288"/>
      <c r="P22" s="289"/>
    </row>
    <row r="23" spans="1:16">
      <c r="B23" s="4"/>
      <c r="C23" s="4"/>
      <c r="D23" s="4"/>
      <c r="E23" s="4"/>
      <c r="G23" s="4"/>
      <c r="H23" s="4"/>
      <c r="I23" s="4"/>
    </row>
    <row r="24" spans="1:16" ht="13.5" thickBot="1">
      <c r="C24" s="253"/>
      <c r="H24" s="253"/>
    </row>
    <row r="25" spans="1:16" s="22" customFormat="1" ht="16.5" thickBot="1">
      <c r="A25" s="1" t="s">
        <v>28</v>
      </c>
      <c r="B25" s="7"/>
      <c r="C25" s="250">
        <f>SUM(C8+C18)</f>
        <v>36424.37736111111</v>
      </c>
      <c r="H25" s="250">
        <f>SUM(H8+H18)</f>
        <v>2696468.2</v>
      </c>
      <c r="J25"/>
      <c r="K25"/>
      <c r="L25"/>
      <c r="M25"/>
      <c r="N25"/>
      <c r="O25"/>
    </row>
    <row r="26" spans="1:16">
      <c r="C26" s="1"/>
    </row>
    <row r="27" spans="1:16">
      <c r="J27" s="4"/>
    </row>
    <row r="30" spans="1:16">
      <c r="K30" s="4"/>
    </row>
    <row r="31" spans="1:16">
      <c r="K31" s="4"/>
    </row>
    <row r="32" spans="1:16">
      <c r="K32" s="4"/>
    </row>
    <row r="33" spans="11:11">
      <c r="K33" s="4"/>
    </row>
    <row r="34" spans="11:11">
      <c r="K34" s="4"/>
    </row>
    <row r="35" spans="11:11">
      <c r="K35" s="4"/>
    </row>
    <row r="36" spans="11:11">
      <c r="K36" s="4"/>
    </row>
    <row r="37" spans="11:11">
      <c r="K37" s="4"/>
    </row>
    <row r="38" spans="11:11" ht="12.75" customHeight="1">
      <c r="K38" s="4"/>
    </row>
    <row r="39" spans="11:11">
      <c r="K39" s="4"/>
    </row>
    <row r="40" spans="11:11">
      <c r="K40" s="4"/>
    </row>
    <row r="41" spans="11:11">
      <c r="K41" s="4"/>
    </row>
    <row r="42" spans="11:11">
      <c r="K42" s="4"/>
    </row>
    <row r="43" spans="11:11">
      <c r="K43" s="4"/>
    </row>
    <row r="44" spans="11:11">
      <c r="K44" s="4"/>
    </row>
    <row r="45" spans="11:11">
      <c r="K45" s="4"/>
    </row>
    <row r="46" spans="11:11">
      <c r="K46" s="4"/>
    </row>
    <row r="47" spans="11:11">
      <c r="K47" s="4"/>
    </row>
    <row r="48" spans="11:11">
      <c r="K48" s="4"/>
    </row>
    <row r="49" spans="11:11">
      <c r="K49" s="4"/>
    </row>
    <row r="50" spans="11:11">
      <c r="K50" s="4"/>
    </row>
    <row r="51" spans="11:11">
      <c r="K51" s="4"/>
    </row>
  </sheetData>
  <mergeCells count="1">
    <mergeCell ref="A13:H13"/>
  </mergeCells>
  <phoneticPr fontId="0" type="noConversion"/>
  <pageMargins left="0.75" right="0.75" top="0.5" bottom="0.5" header="0.5" footer="0.5"/>
  <pageSetup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Normal="100" workbookViewId="0"/>
  </sheetViews>
  <sheetFormatPr defaultRowHeight="14.25"/>
  <cols>
    <col min="1" max="1" width="15.28515625" style="111" customWidth="1"/>
    <col min="2" max="2" width="14" style="111" customWidth="1"/>
    <col min="3" max="3" width="14.28515625" style="111" bestFit="1" customWidth="1"/>
    <col min="4" max="4" width="17.42578125" style="111" customWidth="1"/>
    <col min="5" max="5" width="22.140625" style="111" customWidth="1"/>
    <col min="6" max="6" width="18" style="147" customWidth="1"/>
    <col min="7" max="7" width="17.7109375" style="111" customWidth="1"/>
    <col min="8" max="8" width="17.42578125" style="111" customWidth="1"/>
    <col min="9" max="9" width="17.5703125" style="111" bestFit="1" customWidth="1"/>
    <col min="10" max="10" width="15.7109375" style="111" customWidth="1"/>
    <col min="11" max="16384" width="9.140625" style="111"/>
  </cols>
  <sheetData>
    <row r="1" spans="1:10" ht="15">
      <c r="A1" s="105"/>
      <c r="B1" s="106"/>
      <c r="C1" s="107"/>
      <c r="D1" s="107"/>
      <c r="E1" s="108" t="s">
        <v>3</v>
      </c>
      <c r="F1" s="142" t="s">
        <v>0</v>
      </c>
      <c r="G1" s="107"/>
      <c r="H1" s="108" t="s">
        <v>8</v>
      </c>
      <c r="I1" s="109"/>
      <c r="J1" s="110" t="s">
        <v>10</v>
      </c>
    </row>
    <row r="2" spans="1:10" ht="15.6" customHeight="1" thickBot="1">
      <c r="A2" s="112"/>
      <c r="B2" s="325"/>
      <c r="C2" s="325"/>
      <c r="D2" s="113"/>
      <c r="E2" s="114" t="s">
        <v>6</v>
      </c>
      <c r="F2" s="143" t="s">
        <v>5</v>
      </c>
      <c r="G2" s="113" t="s">
        <v>7</v>
      </c>
      <c r="H2" s="113" t="s">
        <v>9</v>
      </c>
      <c r="I2" s="113" t="s">
        <v>1</v>
      </c>
      <c r="J2" s="113" t="s">
        <v>11</v>
      </c>
    </row>
    <row r="3" spans="1:10" ht="15" thickTop="1">
      <c r="A3" s="326" t="s">
        <v>21</v>
      </c>
      <c r="B3" s="327"/>
      <c r="C3" s="327"/>
      <c r="D3" s="115" t="s">
        <v>26</v>
      </c>
      <c r="E3" s="116">
        <v>40296</v>
      </c>
      <c r="F3" s="150">
        <v>1000000</v>
      </c>
      <c r="G3" s="141"/>
      <c r="H3" s="141"/>
      <c r="I3" s="141"/>
      <c r="J3" s="117"/>
    </row>
    <row r="4" spans="1:10">
      <c r="A4" s="118"/>
      <c r="C4" s="119"/>
      <c r="D4" s="173" t="s">
        <v>26</v>
      </c>
      <c r="E4" s="120">
        <v>40303</v>
      </c>
      <c r="F4" s="151">
        <v>4000000</v>
      </c>
      <c r="G4" s="121"/>
      <c r="H4" s="122"/>
      <c r="I4" s="123"/>
      <c r="J4" s="124"/>
    </row>
    <row r="5" spans="1:10">
      <c r="A5" s="125"/>
      <c r="B5" s="126"/>
      <c r="C5" s="115"/>
      <c r="D5" s="115" t="s">
        <v>26</v>
      </c>
      <c r="E5" s="116">
        <v>40315</v>
      </c>
      <c r="F5" s="144">
        <v>178429</v>
      </c>
      <c r="G5" s="127"/>
      <c r="H5" s="128"/>
      <c r="I5" s="129"/>
      <c r="J5" s="130"/>
    </row>
    <row r="6" spans="1:10">
      <c r="A6" s="118"/>
      <c r="B6" s="131"/>
      <c r="C6" s="131"/>
      <c r="D6" s="173" t="s">
        <v>26</v>
      </c>
      <c r="E6" s="174">
        <v>40327</v>
      </c>
      <c r="F6" s="148">
        <v>2000000</v>
      </c>
      <c r="G6" s="121"/>
      <c r="H6" s="121"/>
      <c r="I6" s="123"/>
      <c r="J6" s="124"/>
    </row>
    <row r="7" spans="1:10" s="188" customFormat="1">
      <c r="A7" s="181"/>
      <c r="B7" s="182"/>
      <c r="C7" s="182"/>
      <c r="D7" s="182" t="s">
        <v>26</v>
      </c>
      <c r="E7" s="183">
        <v>40334</v>
      </c>
      <c r="F7" s="184">
        <v>3524700</v>
      </c>
      <c r="G7" s="185"/>
      <c r="H7" s="185"/>
      <c r="I7" s="186"/>
      <c r="J7" s="187"/>
    </row>
    <row r="8" spans="1:10">
      <c r="A8" s="118"/>
      <c r="B8" s="131"/>
      <c r="C8" s="131"/>
      <c r="D8" s="173" t="s">
        <v>26</v>
      </c>
      <c r="E8" s="174">
        <v>40339</v>
      </c>
      <c r="F8" s="148">
        <v>5250000</v>
      </c>
      <c r="G8" s="121"/>
      <c r="H8" s="121"/>
      <c r="I8" s="123"/>
      <c r="J8" s="124"/>
    </row>
    <row r="9" spans="1:10" s="188" customFormat="1">
      <c r="A9" s="181"/>
      <c r="B9" s="182"/>
      <c r="C9" s="182"/>
      <c r="D9" s="189" t="s">
        <v>26</v>
      </c>
      <c r="E9" s="190">
        <v>40359</v>
      </c>
      <c r="F9" s="184">
        <v>8191000</v>
      </c>
      <c r="G9" s="185"/>
      <c r="H9" s="185"/>
      <c r="I9" s="186"/>
      <c r="J9" s="187"/>
    </row>
    <row r="10" spans="1:10" ht="15" thickBot="1">
      <c r="A10" s="118"/>
      <c r="B10" s="131"/>
      <c r="C10" s="131"/>
      <c r="D10" s="173"/>
      <c r="E10" s="174"/>
      <c r="F10" s="148"/>
      <c r="G10" s="121"/>
      <c r="H10" s="121"/>
      <c r="I10" s="123"/>
      <c r="J10" s="124"/>
    </row>
    <row r="11" spans="1:10" ht="15" thickTop="1">
      <c r="A11" s="125"/>
      <c r="B11" s="126"/>
      <c r="C11" s="126"/>
      <c r="D11" s="126"/>
      <c r="E11" s="126"/>
      <c r="F11" s="152">
        <f>SUM(F3:F10)</f>
        <v>24144129</v>
      </c>
      <c r="G11" s="149">
        <f>A30</f>
        <v>21343819.925742574</v>
      </c>
      <c r="H11" s="133">
        <f>Summary!F8</f>
        <v>13411198.220000003</v>
      </c>
      <c r="I11" s="134">
        <f>+G11-H11</f>
        <v>7932621.7057425715</v>
      </c>
      <c r="J11" s="134">
        <f>Summary!J8</f>
        <v>213668.37736111111</v>
      </c>
    </row>
    <row r="12" spans="1:10">
      <c r="A12" s="118"/>
      <c r="B12" s="132"/>
      <c r="C12" s="132"/>
      <c r="D12" s="132"/>
      <c r="E12" s="132"/>
      <c r="F12" s="145"/>
      <c r="G12" s="122"/>
      <c r="H12" s="153"/>
      <c r="I12" s="123"/>
      <c r="J12" s="135"/>
    </row>
    <row r="13" spans="1:10" ht="15" thickBot="1">
      <c r="A13" s="136"/>
      <c r="B13" s="137"/>
      <c r="C13" s="137"/>
      <c r="D13" s="137"/>
      <c r="E13" s="137"/>
      <c r="F13" s="146"/>
      <c r="G13" s="137"/>
      <c r="H13" s="137"/>
      <c r="I13" s="138"/>
      <c r="J13" s="138"/>
    </row>
    <row r="14" spans="1:10" ht="15" thickTop="1"/>
    <row r="21" spans="1:4">
      <c r="A21" s="111" t="s">
        <v>30</v>
      </c>
    </row>
    <row r="25" spans="1:4" ht="15">
      <c r="A25" s="139" t="s">
        <v>31</v>
      </c>
      <c r="B25" s="139"/>
      <c r="C25" s="139"/>
      <c r="D25" s="139"/>
    </row>
    <row r="26" spans="1:4" ht="15">
      <c r="A26" s="139" t="s">
        <v>32</v>
      </c>
      <c r="B26" s="139"/>
      <c r="C26" s="139"/>
      <c r="D26" s="139"/>
    </row>
    <row r="27" spans="1:4" ht="15">
      <c r="A27" s="139"/>
      <c r="B27" s="139"/>
      <c r="C27" s="139"/>
      <c r="D27" s="139"/>
    </row>
    <row r="28" spans="1:4" ht="15">
      <c r="A28" s="139"/>
      <c r="B28" s="139" t="s">
        <v>33</v>
      </c>
      <c r="C28" s="139"/>
      <c r="D28" s="139" t="s">
        <v>33</v>
      </c>
    </row>
    <row r="29" spans="1:4" ht="15">
      <c r="A29" s="139" t="s">
        <v>34</v>
      </c>
      <c r="B29" s="139" t="s">
        <v>35</v>
      </c>
      <c r="C29" s="139" t="s">
        <v>36</v>
      </c>
      <c r="D29" s="139" t="s">
        <v>17</v>
      </c>
    </row>
    <row r="30" spans="1:4" ht="15">
      <c r="A30" s="140">
        <f>D30/(1+B30)</f>
        <v>21343819.925742574</v>
      </c>
      <c r="B30" s="139">
        <v>0.13120000000000001</v>
      </c>
      <c r="C30" s="140">
        <f>A30*B30</f>
        <v>2800309.1742574261</v>
      </c>
      <c r="D30" s="140">
        <v>24144129.100000001</v>
      </c>
    </row>
    <row r="35" spans="1:4">
      <c r="A35" s="111" t="s">
        <v>37</v>
      </c>
    </row>
    <row r="36" spans="1:4">
      <c r="A36" s="111" t="s">
        <v>38</v>
      </c>
    </row>
    <row r="38" spans="1:4">
      <c r="B38" s="111" t="s">
        <v>33</v>
      </c>
      <c r="D38" s="111" t="s">
        <v>33</v>
      </c>
    </row>
    <row r="39" spans="1:4">
      <c r="A39" s="111" t="s">
        <v>34</v>
      </c>
      <c r="B39" s="111" t="s">
        <v>35</v>
      </c>
      <c r="C39" s="111" t="s">
        <v>36</v>
      </c>
      <c r="D39" s="111" t="s">
        <v>17</v>
      </c>
    </row>
    <row r="40" spans="1:4">
      <c r="A40" s="111">
        <v>0</v>
      </c>
      <c r="B40" s="111">
        <v>0</v>
      </c>
      <c r="C40" s="111">
        <f>SUM(A40*B40)</f>
        <v>0</v>
      </c>
      <c r="D40" s="111">
        <f>SUM(A40+C40)</f>
        <v>0</v>
      </c>
    </row>
  </sheetData>
  <mergeCells count="2">
    <mergeCell ref="B2:C2"/>
    <mergeCell ref="A3:C3"/>
  </mergeCells>
  <phoneticPr fontId="18" type="noConversion"/>
  <pageMargins left="0.75" right="0.75" top="1" bottom="1" header="0.5" footer="0.5"/>
  <pageSetup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5"/>
  <sheetViews>
    <sheetView topLeftCell="A13" workbookViewId="0">
      <selection activeCell="D13" sqref="D13"/>
    </sheetView>
  </sheetViews>
  <sheetFormatPr defaultRowHeight="12.75"/>
  <cols>
    <col min="1" max="1" width="40.140625" style="192" customWidth="1"/>
    <col min="2" max="2" width="17.7109375" style="209" bestFit="1" customWidth="1"/>
    <col min="3" max="3" width="4.140625" style="192" customWidth="1"/>
    <col min="4" max="4" width="24" style="197" customWidth="1"/>
    <col min="5" max="5" width="40.5703125" style="197" bestFit="1" customWidth="1"/>
    <col min="6" max="6" width="15.5703125" style="202" customWidth="1"/>
  </cols>
  <sheetData>
    <row r="1" spans="1:6">
      <c r="A1" s="194" t="s">
        <v>167</v>
      </c>
      <c r="B1" s="208" t="s">
        <v>168</v>
      </c>
      <c r="D1" s="194" t="s">
        <v>169</v>
      </c>
      <c r="E1" s="194" t="s">
        <v>171</v>
      </c>
      <c r="F1" s="194" t="s">
        <v>170</v>
      </c>
    </row>
    <row r="2" spans="1:6">
      <c r="A2" s="330" t="s">
        <v>117</v>
      </c>
      <c r="B2" s="329">
        <v>600000</v>
      </c>
      <c r="C2" s="216"/>
    </row>
    <row r="3" spans="1:6">
      <c r="A3" s="330"/>
      <c r="B3" s="329"/>
      <c r="D3" s="199"/>
      <c r="E3" s="198"/>
      <c r="F3" s="203"/>
    </row>
    <row r="4" spans="1:6">
      <c r="A4" s="331" t="s">
        <v>118</v>
      </c>
      <c r="B4" s="328">
        <v>900000</v>
      </c>
      <c r="C4" s="216"/>
    </row>
    <row r="5" spans="1:6">
      <c r="A5" s="331"/>
      <c r="B5" s="328"/>
    </row>
    <row r="6" spans="1:6">
      <c r="A6" s="330" t="s">
        <v>119</v>
      </c>
      <c r="B6" s="329">
        <v>1250000</v>
      </c>
      <c r="C6" s="216"/>
    </row>
    <row r="7" spans="1:6">
      <c r="A7" s="330"/>
      <c r="B7" s="329"/>
      <c r="D7" s="199"/>
      <c r="E7" s="199"/>
      <c r="F7" s="203"/>
    </row>
    <row r="8" spans="1:6">
      <c r="A8" s="331" t="s">
        <v>120</v>
      </c>
      <c r="B8" s="328">
        <v>150000</v>
      </c>
    </row>
    <row r="9" spans="1:6">
      <c r="A9" s="331"/>
      <c r="B9" s="328"/>
    </row>
    <row r="10" spans="1:6">
      <c r="A10" s="330" t="s">
        <v>121</v>
      </c>
      <c r="B10" s="329">
        <v>240000</v>
      </c>
      <c r="C10" s="216"/>
    </row>
    <row r="11" spans="1:6">
      <c r="A11" s="330"/>
      <c r="B11" s="329"/>
    </row>
    <row r="12" spans="1:6">
      <c r="A12" s="207" t="s">
        <v>122</v>
      </c>
      <c r="B12" s="211">
        <v>75000</v>
      </c>
    </row>
    <row r="13" spans="1:6">
      <c r="A13" s="207"/>
      <c r="B13" s="211"/>
      <c r="D13" s="200"/>
      <c r="E13" s="200"/>
      <c r="F13" s="204"/>
    </row>
    <row r="14" spans="1:6">
      <c r="A14" s="207"/>
      <c r="B14" s="211"/>
      <c r="D14" s="200"/>
      <c r="E14" s="200"/>
      <c r="F14" s="204"/>
    </row>
    <row r="15" spans="1:6">
      <c r="A15" s="330" t="s">
        <v>123</v>
      </c>
      <c r="B15" s="329">
        <v>160000</v>
      </c>
      <c r="C15" s="216"/>
    </row>
    <row r="16" spans="1:6">
      <c r="A16" s="330"/>
      <c r="B16" s="329"/>
    </row>
    <row r="17" spans="1:6">
      <c r="A17" s="331" t="s">
        <v>124</v>
      </c>
      <c r="B17" s="328">
        <v>1100000</v>
      </c>
      <c r="C17" s="216"/>
    </row>
    <row r="18" spans="1:6">
      <c r="A18" s="331"/>
      <c r="B18" s="328"/>
    </row>
    <row r="19" spans="1:6">
      <c r="A19" s="331"/>
      <c r="B19" s="328"/>
      <c r="D19" s="200"/>
      <c r="E19" s="200"/>
      <c r="F19" s="204"/>
    </row>
    <row r="20" spans="1:6">
      <c r="A20" s="331"/>
      <c r="B20" s="328"/>
      <c r="D20" s="200"/>
      <c r="E20" s="200"/>
      <c r="F20" s="204"/>
    </row>
    <row r="21" spans="1:6">
      <c r="A21" s="331"/>
      <c r="B21" s="328"/>
      <c r="D21" s="200"/>
      <c r="E21" s="200"/>
      <c r="F21" s="204"/>
    </row>
    <row r="22" spans="1:6">
      <c r="A22" s="331"/>
      <c r="B22" s="328"/>
      <c r="D22" s="200"/>
      <c r="E22" s="200"/>
      <c r="F22" s="204"/>
    </row>
    <row r="23" spans="1:6">
      <c r="A23" s="331"/>
      <c r="B23" s="328"/>
      <c r="D23" s="200"/>
      <c r="E23" s="200"/>
      <c r="F23" s="204"/>
    </row>
    <row r="24" spans="1:6">
      <c r="A24" s="330" t="s">
        <v>125</v>
      </c>
      <c r="B24" s="329">
        <v>35000</v>
      </c>
    </row>
    <row r="25" spans="1:6">
      <c r="A25" s="330"/>
      <c r="B25" s="329"/>
    </row>
    <row r="26" spans="1:6">
      <c r="A26" s="331" t="s">
        <v>126</v>
      </c>
      <c r="B26" s="328">
        <v>85000</v>
      </c>
    </row>
    <row r="27" spans="1:6">
      <c r="A27" s="331"/>
      <c r="B27" s="328"/>
    </row>
    <row r="28" spans="1:6">
      <c r="A28" s="330" t="s">
        <v>127</v>
      </c>
      <c r="B28" s="329">
        <v>1764000</v>
      </c>
      <c r="C28" s="216"/>
    </row>
    <row r="29" spans="1:6">
      <c r="A29" s="330"/>
      <c r="B29" s="329"/>
    </row>
    <row r="30" spans="1:6">
      <c r="A30" s="331" t="s">
        <v>128</v>
      </c>
      <c r="B30" s="328">
        <v>54000</v>
      </c>
    </row>
    <row r="31" spans="1:6">
      <c r="A31" s="331"/>
      <c r="B31" s="328"/>
      <c r="D31" s="200"/>
      <c r="E31" s="200"/>
      <c r="F31" s="204"/>
    </row>
    <row r="32" spans="1:6">
      <c r="A32" s="331"/>
      <c r="B32" s="328"/>
      <c r="D32" s="200"/>
      <c r="E32" s="200"/>
      <c r="F32" s="204"/>
    </row>
    <row r="33" spans="1:6">
      <c r="A33" s="331"/>
      <c r="B33" s="328"/>
      <c r="D33" s="200"/>
      <c r="E33" s="200"/>
      <c r="F33" s="204"/>
    </row>
    <row r="34" spans="1:6">
      <c r="A34" s="331"/>
      <c r="B34" s="328"/>
      <c r="D34" s="200"/>
      <c r="E34" s="200"/>
      <c r="F34" s="204"/>
    </row>
    <row r="35" spans="1:6">
      <c r="A35" s="331"/>
      <c r="B35" s="328"/>
      <c r="D35" s="200"/>
      <c r="E35" s="200"/>
      <c r="F35" s="204"/>
    </row>
    <row r="36" spans="1:6">
      <c r="A36" s="331"/>
      <c r="B36" s="328"/>
      <c r="D36" s="200"/>
      <c r="E36" s="200"/>
      <c r="F36" s="204"/>
    </row>
    <row r="37" spans="1:6">
      <c r="A37" s="331"/>
      <c r="B37" s="328"/>
    </row>
    <row r="38" spans="1:6">
      <c r="A38" s="330" t="s">
        <v>129</v>
      </c>
      <c r="B38" s="329">
        <v>250000</v>
      </c>
    </row>
    <row r="39" spans="1:6">
      <c r="A39" s="330"/>
      <c r="B39" s="329"/>
    </row>
    <row r="40" spans="1:6">
      <c r="A40" s="331" t="s">
        <v>130</v>
      </c>
      <c r="B40" s="328">
        <v>2716000</v>
      </c>
      <c r="C40" s="216"/>
    </row>
    <row r="41" spans="1:6">
      <c r="A41" s="331"/>
      <c r="B41" s="328"/>
    </row>
    <row r="42" spans="1:6">
      <c r="A42" s="330" t="s">
        <v>131</v>
      </c>
      <c r="B42" s="329">
        <v>10000</v>
      </c>
    </row>
    <row r="43" spans="1:6">
      <c r="A43" s="330"/>
      <c r="B43" s="329"/>
      <c r="D43" s="200"/>
      <c r="E43" s="200"/>
      <c r="F43" s="204"/>
    </row>
    <row r="44" spans="1:6">
      <c r="A44" s="330"/>
      <c r="B44" s="329"/>
      <c r="D44" s="200"/>
      <c r="E44" s="200"/>
      <c r="F44" s="204"/>
    </row>
    <row r="45" spans="1:6">
      <c r="A45" s="330"/>
      <c r="B45" s="329"/>
      <c r="D45" s="200"/>
      <c r="E45" s="200"/>
      <c r="F45" s="204"/>
    </row>
    <row r="46" spans="1:6">
      <c r="A46" s="330"/>
      <c r="B46" s="329"/>
    </row>
    <row r="47" spans="1:6">
      <c r="A47" s="331" t="s">
        <v>132</v>
      </c>
      <c r="B47" s="328">
        <v>50000</v>
      </c>
      <c r="C47" s="218"/>
    </row>
    <row r="48" spans="1:6">
      <c r="A48" s="331"/>
      <c r="B48" s="328"/>
    </row>
    <row r="49" spans="1:6">
      <c r="A49" s="330" t="s">
        <v>133</v>
      </c>
      <c r="B49" s="329">
        <v>50000</v>
      </c>
    </row>
    <row r="50" spans="1:6">
      <c r="A50" s="330"/>
      <c r="B50" s="329"/>
    </row>
    <row r="51" spans="1:6">
      <c r="A51" s="331" t="s">
        <v>134</v>
      </c>
      <c r="B51" s="328">
        <v>16075.44</v>
      </c>
    </row>
    <row r="52" spans="1:6">
      <c r="A52" s="331"/>
      <c r="B52" s="328"/>
    </row>
    <row r="53" spans="1:6">
      <c r="A53" s="330" t="s">
        <v>135</v>
      </c>
      <c r="B53" s="329">
        <v>350000</v>
      </c>
      <c r="C53" s="216"/>
    </row>
    <row r="54" spans="1:6">
      <c r="A54" s="330"/>
      <c r="B54" s="329"/>
      <c r="D54" s="200"/>
      <c r="E54" s="200"/>
      <c r="F54" s="204"/>
    </row>
    <row r="55" spans="1:6">
      <c r="A55" s="331" t="s">
        <v>136</v>
      </c>
      <c r="B55" s="328">
        <v>180000</v>
      </c>
    </row>
    <row r="56" spans="1:6">
      <c r="A56" s="331"/>
      <c r="B56" s="328"/>
    </row>
    <row r="57" spans="1:6">
      <c r="A57" s="206" t="s">
        <v>137</v>
      </c>
      <c r="B57" s="210">
        <v>310000</v>
      </c>
    </row>
    <row r="58" spans="1:6">
      <c r="A58" s="331" t="s">
        <v>138</v>
      </c>
      <c r="B58" s="328">
        <v>4836000</v>
      </c>
      <c r="C58" s="216"/>
    </row>
    <row r="59" spans="1:6">
      <c r="A59" s="331"/>
      <c r="B59" s="328"/>
    </row>
    <row r="60" spans="1:6">
      <c r="A60" s="330" t="s">
        <v>139</v>
      </c>
      <c r="B60" s="329">
        <v>100000</v>
      </c>
    </row>
    <row r="61" spans="1:6">
      <c r="A61" s="330"/>
      <c r="B61" s="329"/>
      <c r="D61" s="200"/>
      <c r="E61" s="200"/>
      <c r="F61" s="204"/>
    </row>
    <row r="62" spans="1:6">
      <c r="A62" s="330"/>
      <c r="B62" s="329"/>
      <c r="D62" s="200"/>
      <c r="E62" s="200"/>
      <c r="F62" s="204"/>
    </row>
    <row r="63" spans="1:6">
      <c r="A63" s="207" t="s">
        <v>140</v>
      </c>
      <c r="B63" s="211">
        <v>18639.54</v>
      </c>
      <c r="C63" s="217"/>
    </row>
    <row r="64" spans="1:6">
      <c r="A64" s="206" t="s">
        <v>141</v>
      </c>
      <c r="B64" s="210">
        <v>15000</v>
      </c>
      <c r="C64" s="217"/>
    </row>
    <row r="65" spans="1:3">
      <c r="A65" s="207" t="s">
        <v>142</v>
      </c>
      <c r="B65" s="212">
        <v>400000</v>
      </c>
      <c r="C65" s="217"/>
    </row>
    <row r="66" spans="1:3">
      <c r="A66" s="206" t="s">
        <v>143</v>
      </c>
      <c r="B66" s="213">
        <v>178420.1</v>
      </c>
      <c r="C66" s="217"/>
    </row>
    <row r="67" spans="1:3">
      <c r="A67" s="207" t="s">
        <v>144</v>
      </c>
      <c r="B67" s="212">
        <v>357.04</v>
      </c>
      <c r="C67" s="217"/>
    </row>
    <row r="68" spans="1:3">
      <c r="A68" s="206" t="s">
        <v>145</v>
      </c>
      <c r="B68" s="213">
        <v>120.5</v>
      </c>
      <c r="C68" s="217"/>
    </row>
    <row r="69" spans="1:3">
      <c r="A69" s="207" t="s">
        <v>146</v>
      </c>
      <c r="B69" s="212">
        <v>16000</v>
      </c>
      <c r="C69" s="217"/>
    </row>
    <row r="70" spans="1:3">
      <c r="A70" s="206" t="s">
        <v>147</v>
      </c>
      <c r="B70" s="213">
        <v>169.08</v>
      </c>
      <c r="C70" s="217"/>
    </row>
    <row r="71" spans="1:3">
      <c r="A71" s="207" t="s">
        <v>148</v>
      </c>
      <c r="B71" s="212">
        <v>15333.47</v>
      </c>
      <c r="C71" s="217"/>
    </row>
    <row r="72" spans="1:3">
      <c r="A72" s="206" t="s">
        <v>149</v>
      </c>
      <c r="B72" s="213">
        <v>105000</v>
      </c>
      <c r="C72" s="217"/>
    </row>
    <row r="73" spans="1:3">
      <c r="A73" s="207" t="s">
        <v>150</v>
      </c>
      <c r="B73" s="212">
        <v>3785.11</v>
      </c>
      <c r="C73" s="217"/>
    </row>
    <row r="74" spans="1:3">
      <c r="A74" s="206" t="s">
        <v>151</v>
      </c>
      <c r="B74" s="213">
        <v>230.48</v>
      </c>
      <c r="C74" s="217"/>
    </row>
    <row r="75" spans="1:3">
      <c r="A75" s="207" t="s">
        <v>152</v>
      </c>
      <c r="B75" s="212">
        <v>109.25</v>
      </c>
      <c r="C75" s="217"/>
    </row>
    <row r="76" spans="1:3">
      <c r="A76" s="206" t="s">
        <v>153</v>
      </c>
      <c r="B76" s="213">
        <v>557.84</v>
      </c>
      <c r="C76" s="217"/>
    </row>
    <row r="77" spans="1:3">
      <c r="A77" s="207" t="s">
        <v>154</v>
      </c>
      <c r="B77" s="212">
        <v>70.56</v>
      </c>
      <c r="C77" s="217"/>
    </row>
    <row r="78" spans="1:3">
      <c r="A78" s="206" t="s">
        <v>155</v>
      </c>
      <c r="B78" s="213">
        <v>15000</v>
      </c>
      <c r="C78" s="217"/>
    </row>
    <row r="79" spans="1:3">
      <c r="A79" s="207" t="s">
        <v>156</v>
      </c>
      <c r="B79" s="212">
        <v>243</v>
      </c>
      <c r="C79" s="217"/>
    </row>
    <row r="80" spans="1:3">
      <c r="A80" s="206" t="s">
        <v>157</v>
      </c>
      <c r="B80" s="213">
        <v>382.5</v>
      </c>
      <c r="C80" s="217"/>
    </row>
    <row r="81" spans="1:6">
      <c r="A81" s="207" t="s">
        <v>158</v>
      </c>
      <c r="B81" s="212">
        <v>110</v>
      </c>
      <c r="C81" s="217"/>
    </row>
    <row r="82" spans="1:6">
      <c r="A82" s="206" t="s">
        <v>159</v>
      </c>
      <c r="B82" s="213">
        <v>144.06</v>
      </c>
      <c r="C82" s="217"/>
    </row>
    <row r="83" spans="1:6">
      <c r="A83" s="207" t="s">
        <v>160</v>
      </c>
      <c r="B83" s="212">
        <v>100</v>
      </c>
      <c r="C83" s="217"/>
    </row>
    <row r="84" spans="1:6">
      <c r="A84" s="206" t="s">
        <v>161</v>
      </c>
      <c r="B84" s="213">
        <v>1045.83</v>
      </c>
      <c r="C84" s="217"/>
    </row>
    <row r="85" spans="1:6">
      <c r="A85" s="207" t="s">
        <v>162</v>
      </c>
      <c r="B85" s="212">
        <v>1240.08</v>
      </c>
      <c r="C85" s="217"/>
    </row>
    <row r="86" spans="1:6" s="191" customFormat="1" ht="11.25" customHeight="1">
      <c r="A86" s="333" t="s">
        <v>163</v>
      </c>
      <c r="B86" s="332">
        <v>12862.36</v>
      </c>
      <c r="C86" s="193"/>
      <c r="D86" s="201"/>
      <c r="E86" s="201"/>
      <c r="F86" s="205"/>
    </row>
    <row r="87" spans="1:6">
      <c r="A87" s="333"/>
      <c r="B87" s="332"/>
    </row>
    <row r="88" spans="1:6">
      <c r="A88" s="333"/>
      <c r="B88" s="332"/>
    </row>
    <row r="89" spans="1:6">
      <c r="A89" s="333"/>
      <c r="B89" s="332"/>
    </row>
    <row r="90" spans="1:6">
      <c r="A90" s="333"/>
      <c r="B90" s="332"/>
    </row>
    <row r="91" spans="1:6">
      <c r="A91" s="333"/>
      <c r="B91" s="332"/>
    </row>
    <row r="92" spans="1:6">
      <c r="A92" s="196" t="s">
        <v>110</v>
      </c>
      <c r="B92" s="214">
        <v>400000</v>
      </c>
      <c r="C92" s="217"/>
    </row>
    <row r="93" spans="1:6">
      <c r="A93" s="196" t="s">
        <v>111</v>
      </c>
      <c r="B93" s="214">
        <v>250000</v>
      </c>
      <c r="C93" s="217"/>
    </row>
    <row r="94" spans="1:6">
      <c r="A94" s="196"/>
      <c r="B94" s="214"/>
    </row>
    <row r="95" spans="1:6">
      <c r="A95" s="196"/>
      <c r="B95" s="214"/>
    </row>
    <row r="96" spans="1:6">
      <c r="A96" s="196" t="s">
        <v>172</v>
      </c>
      <c r="B96" s="214">
        <f>SUM(B2:B93)</f>
        <v>16715996.239999998</v>
      </c>
    </row>
    <row r="97" spans="1:2">
      <c r="B97" s="215"/>
    </row>
    <row r="98" spans="1:2">
      <c r="A98" s="195" t="s">
        <v>173</v>
      </c>
      <c r="B98" s="215">
        <f>+Contracts!C46</f>
        <v>16394123.879999999</v>
      </c>
    </row>
    <row r="99" spans="1:2">
      <c r="B99" s="215"/>
    </row>
    <row r="100" spans="1:2">
      <c r="A100" s="195" t="s">
        <v>174</v>
      </c>
      <c r="B100" s="215">
        <f>+B96-B98</f>
        <v>321872.3599999994</v>
      </c>
    </row>
    <row r="101" spans="1:2">
      <c r="B101" s="215"/>
    </row>
    <row r="102" spans="1:2">
      <c r="B102" s="215"/>
    </row>
    <row r="103" spans="1:2">
      <c r="A103" s="195" t="s">
        <v>164</v>
      </c>
      <c r="B103" s="214">
        <f>+B2+B4+B6+B10+B15+B17+B28+B40+B53+B58</f>
        <v>13916000</v>
      </c>
    </row>
    <row r="104" spans="1:2">
      <c r="B104" s="215"/>
    </row>
    <row r="105" spans="1:2">
      <c r="A105" s="195" t="s">
        <v>165</v>
      </c>
      <c r="B105" s="215">
        <f>4479000+7391000+1048000+494000</f>
        <v>13412000</v>
      </c>
    </row>
    <row r="106" spans="1:2">
      <c r="B106" s="215"/>
    </row>
    <row r="107" spans="1:2">
      <c r="A107" s="195" t="s">
        <v>166</v>
      </c>
      <c r="B107" s="215">
        <f>+B103-B105</f>
        <v>504000</v>
      </c>
    </row>
    <row r="108" spans="1:2">
      <c r="B108" s="215"/>
    </row>
    <row r="109" spans="1:2">
      <c r="B109" s="215"/>
    </row>
    <row r="110" spans="1:2">
      <c r="B110" s="215"/>
    </row>
    <row r="111" spans="1:2">
      <c r="B111" s="215"/>
    </row>
    <row r="112" spans="1:2">
      <c r="B112" s="215"/>
    </row>
    <row r="113" spans="2:2">
      <c r="B113" s="215"/>
    </row>
    <row r="114" spans="2:2">
      <c r="B114" s="215"/>
    </row>
    <row r="115" spans="2:2">
      <c r="B115" s="215"/>
    </row>
  </sheetData>
  <mergeCells count="44">
    <mergeCell ref="B86:B91"/>
    <mergeCell ref="A86:A91"/>
    <mergeCell ref="B2:B3"/>
    <mergeCell ref="A4:A5"/>
    <mergeCell ref="A2:A3"/>
    <mergeCell ref="B6:B7"/>
    <mergeCell ref="B4:B5"/>
    <mergeCell ref="A8:A9"/>
    <mergeCell ref="A6:A7"/>
    <mergeCell ref="B10:B11"/>
    <mergeCell ref="B8:B9"/>
    <mergeCell ref="A15:A16"/>
    <mergeCell ref="A10:A11"/>
    <mergeCell ref="B17:B23"/>
    <mergeCell ref="B15:B16"/>
    <mergeCell ref="A24:A25"/>
    <mergeCell ref="A17:A23"/>
    <mergeCell ref="B26:B27"/>
    <mergeCell ref="B24:B25"/>
    <mergeCell ref="A28:A29"/>
    <mergeCell ref="A26:A27"/>
    <mergeCell ref="B30:B37"/>
    <mergeCell ref="B28:B29"/>
    <mergeCell ref="A38:A39"/>
    <mergeCell ref="A30:A37"/>
    <mergeCell ref="B40:B41"/>
    <mergeCell ref="B38:B39"/>
    <mergeCell ref="A42:A46"/>
    <mergeCell ref="A40:A41"/>
    <mergeCell ref="B47:B48"/>
    <mergeCell ref="B42:B46"/>
    <mergeCell ref="A49:A50"/>
    <mergeCell ref="A47:A48"/>
    <mergeCell ref="B51:B52"/>
    <mergeCell ref="B49:B50"/>
    <mergeCell ref="B60:B62"/>
    <mergeCell ref="B58:B59"/>
    <mergeCell ref="A60:A62"/>
    <mergeCell ref="A53:A54"/>
    <mergeCell ref="A51:A52"/>
    <mergeCell ref="B55:B56"/>
    <mergeCell ref="B53:B54"/>
    <mergeCell ref="A58:A59"/>
    <mergeCell ref="A55:A56"/>
  </mergeCells>
  <hyperlinks>
    <hyperlink ref="A2" r:id="rId1" display="http://iasint.rtpnc.epa.gov/neis/ifms_doc.resolve?Doc=RE1006LDR001"/>
    <hyperlink ref="A4" r:id="rId2" display="http://iasint.rtpnc.epa.gov/neis/ifms_doc.resolve?Doc=RE1006LDR004"/>
    <hyperlink ref="A6" r:id="rId3" display="http://iasint.rtpnc.epa.gov/neis/ifms_doc.resolve?Doc=RE1006LDR005"/>
    <hyperlink ref="A8" r:id="rId4" display="http://iasint.rtpnc.epa.gov/neis/ifms_doc.resolve?Doc=RE1006LDR008"/>
    <hyperlink ref="A10" r:id="rId5" display="http://iasint.rtpnc.epa.gov/neis/ifms_doc.resolve?Doc=RE1006LDR010"/>
    <hyperlink ref="A12" r:id="rId6" display="http://iasint.rtpnc.epa.gov/neis/ifms_doc.resolve?Doc=RE1006LDR011"/>
    <hyperlink ref="A15" r:id="rId7" display="http://iasint.rtpnc.epa.gov/neis/ifms_doc.resolve?Doc=RE1006LDR014"/>
    <hyperlink ref="A17" r:id="rId8" display="http://iasint.rtpnc.epa.gov/neis/ifms_doc.resolve?Doc=RE1006LDR015"/>
    <hyperlink ref="A24" r:id="rId9" display="http://iasint.rtpnc.epa.gov/neis/ifms_doc.resolve?Doc=RE1006LDR022"/>
    <hyperlink ref="A26" r:id="rId10" display="http://iasint.rtpnc.epa.gov/neis/ifms_doc.resolve?Doc=RE1006LDR023"/>
    <hyperlink ref="A28" r:id="rId11" display="http://iasint.rtpnc.epa.gov/neis/ifms_doc.resolve?Doc=RE1006LDR024"/>
    <hyperlink ref="A30" r:id="rId12" display="http://iasint.rtpnc.epa.gov/neis/ifms_doc.resolve?Doc=RE1006LDR025"/>
    <hyperlink ref="A38" r:id="rId13" display="http://iasint.rtpnc.epa.gov/neis/ifms_doc.resolve?Doc=RE1006LDR032"/>
    <hyperlink ref="A40" r:id="rId14" display="http://iasint.rtpnc.epa.gov/neis/ifms_doc.resolve?Doc=RE1006LDR033"/>
    <hyperlink ref="A42" r:id="rId15" display="http://iasint.rtpnc.epa.gov/neis/ifms_doc.resolve?Doc=RE1006LDR034"/>
    <hyperlink ref="A47" r:id="rId16" display="http://iasint.rtpnc.epa.gov/neis/ifms_doc.resolve?Doc=RE1006LDR038"/>
    <hyperlink ref="A49" r:id="rId17" display="http://iasint.rtpnc.epa.gov/neis/ifms_doc.resolve?Doc=RE1006LDR039"/>
    <hyperlink ref="A51" r:id="rId18" display="http://iasint.rtpnc.epa.gov/neis/ifms_doc.resolve?Doc=RE1006LDR040"/>
    <hyperlink ref="A53" r:id="rId19" display="http://iasint.rtpnc.epa.gov/neis/ifms_doc.resolve?Doc=RE1006LDR041"/>
    <hyperlink ref="A55" r:id="rId20" display="http://iasint.rtpnc.epa.gov/neis/ifms_doc.resolve?Doc=RE1006LDR043"/>
    <hyperlink ref="A57" r:id="rId21" display="http://iasint.rtpnc.epa.gov/neis/ifms_doc.resolve?Doc=RE1006LDR044"/>
    <hyperlink ref="A58" r:id="rId22" display="http://iasint.rtpnc.epa.gov/neis/ifms_doc.resolve?Doc=RE1006LDR045"/>
    <hyperlink ref="A60" r:id="rId23" display="http://iasint.rtpnc.epa.gov/neis/ifms_doc.resolve?Doc=RE1006LDR046"/>
    <hyperlink ref="A63" r:id="rId24" display="http://iasint.rtpnc.epa.gov/neis/ifms_doc.resolve?Doc=RQ1006LDR003"/>
    <hyperlink ref="A64" r:id="rId25" display="http://iasint.rtpnc.epa.gov/neis/ifms_doc.resolve?Doc=RQ1006LDR006"/>
    <hyperlink ref="A65" r:id="rId26" display="http://iasint.rtpnc.epa.gov/neis/ifms_doc.resolve?Doc=RQ1006LDR007"/>
    <hyperlink ref="A66" r:id="rId27" display="http://iasint.rtpnc.epa.gov/neis/ifms_doc.resolve?Doc=RQ1006LDR009"/>
    <hyperlink ref="A67" r:id="rId28" display="http://iasint.rtpnc.epa.gov/neis/ifms_doc.resolve?Doc=RQ1006LDR012"/>
    <hyperlink ref="A68" r:id="rId29" display="http://iasint.rtpnc.epa.gov/neis/ifms_doc.resolve?Doc=RQ1006LDR013"/>
    <hyperlink ref="A69" r:id="rId30" display="http://iasint.rtpnc.epa.gov/neis/ifms_doc.resolve?Doc=RQ1006LDR016"/>
    <hyperlink ref="A70" r:id="rId31" display="http://iasint.rtpnc.epa.gov/neis/ifms_doc.resolve?Doc=RQ1006LDR017"/>
    <hyperlink ref="A71" r:id="rId32" display="http://iasint.rtpnc.epa.gov/neis/ifms_doc.resolve?Doc=RQ1006LDR019"/>
    <hyperlink ref="A72" r:id="rId33" display="http://iasint.rtpnc.epa.gov/neis/ifms_doc.resolve?Doc=RQ1006LDR020"/>
    <hyperlink ref="A73" r:id="rId34" display="http://iasint.rtpnc.epa.gov/neis/ifms_doc.resolve?Doc=RQ1006LDR021"/>
    <hyperlink ref="A74" r:id="rId35" display="http://iasint.rtpnc.epa.gov/neis/ifms_doc.resolve?Doc=RQ1006LDR026"/>
    <hyperlink ref="A75" r:id="rId36" display="http://iasint.rtpnc.epa.gov/neis/ifms_doc.resolve?Doc=RQ1006LDR027"/>
    <hyperlink ref="A76" r:id="rId37" display="http://iasint.rtpnc.epa.gov/neis/ifms_doc.resolve?Doc=RQ1006LDR028"/>
    <hyperlink ref="A77" r:id="rId38" display="http://iasint.rtpnc.epa.gov/neis/ifms_doc.resolve?Doc=RQ1006LDR029"/>
    <hyperlink ref="A78" r:id="rId39" display="http://iasint.rtpnc.epa.gov/neis/ifms_doc.resolve?Doc=RQ1006LDR030"/>
    <hyperlink ref="A79" r:id="rId40" display="http://iasint.rtpnc.epa.gov/neis/ifms_doc.resolve?Doc=RQ1006LDR031"/>
    <hyperlink ref="A80" r:id="rId41" display="http://iasint.rtpnc.epa.gov/neis/ifms_doc.resolve?Doc=RQ1006LDR035"/>
    <hyperlink ref="A81" r:id="rId42" display="http://iasint.rtpnc.epa.gov/neis/ifms_doc.resolve?Doc=RQ1006LDR036"/>
    <hyperlink ref="A82" r:id="rId43" display="http://iasint.rtpnc.epa.gov/neis/ifms_doc.resolve?Doc=RQ1006LDR037"/>
    <hyperlink ref="A83" r:id="rId44" display="http://iasint.rtpnc.epa.gov/neis/ifms_doc.resolve?Doc=RQ1006LDR042"/>
    <hyperlink ref="A84" r:id="rId45" display="http://iasint.rtpnc.epa.gov/neis/ifms_doc.resolve?Doc=RQ1006LDR047"/>
    <hyperlink ref="A85" r:id="rId46" display="http://iasint.rtpnc.epa.gov/neis/ifms_doc.resolve?Doc=RQ1006LDR048"/>
    <hyperlink ref="A86" r:id="rId47" display="http://iasint.rtpnc.epa.gov/neis/ifms_doc.resolve?Doc=RQ1007W10132"/>
  </hyperlinks>
  <pageMargins left="0.7" right="0.7" top="0.75" bottom="0.75" header="0.3" footer="0.3"/>
  <pageSetup orientation="landscape" horizontalDpi="1200" verticalDpi="1200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SitRep</vt:lpstr>
      <vt:lpstr>Summary</vt:lpstr>
      <vt:lpstr>Contracts</vt:lpstr>
      <vt:lpstr>Payroll Travel</vt:lpstr>
      <vt:lpstr>OPA PRFA</vt:lpstr>
      <vt:lpstr>Contracts reconciliation</vt:lpstr>
      <vt:lpstr>Contracts!Print_Area</vt:lpstr>
      <vt:lpstr>SitRep!Print_Area</vt:lpstr>
      <vt:lpstr>Summary!Print_Area</vt:lpstr>
    </vt:vector>
  </TitlesOfParts>
  <Company>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THANKINS</dc:creator>
  <cp:lastModifiedBy>REGION 7</cp:lastModifiedBy>
  <cp:lastPrinted>2012-12-13T16:57:37Z</cp:lastPrinted>
  <dcterms:created xsi:type="dcterms:W3CDTF">2005-09-15T12:30:18Z</dcterms:created>
  <dcterms:modified xsi:type="dcterms:W3CDTF">2012-12-17T17:44:28Z</dcterms:modified>
</cp:coreProperties>
</file>